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22" documentId="8_{9773E786-03D5-48B3-8766-3FC252B79B64}" xr6:coauthVersionLast="47" xr6:coauthVersionMax="47" xr10:uidLastSave="{BB2110A7-621B-4DC8-829F-6D31CD9984EC}"/>
  <workbookProtection lockStructure="1"/>
  <bookViews>
    <workbookView xWindow="23880" yWindow="-120" windowWidth="24240" windowHeight="13020" tabRatio="861" firstSheet="1" activeTab="6" xr2:uid="{00000000-000D-0000-FFFF-FFFF00000000}"/>
  </bookViews>
  <sheets>
    <sheet name="Instructions" sheetId="25" r:id="rId1"/>
    <sheet name="Detailed-Consistent Effort" sheetId="12" r:id="rId2"/>
    <sheet name="Modular-Consistent Effort" sheetId="14" r:id="rId3"/>
    <sheet name="Modular-Varying Effort" sheetId="16" r:id="rId4"/>
    <sheet name="Detailed-Varying Effort" sheetId="24" r:id="rId5"/>
    <sheet name="R21 Modular-Consistent Effort " sheetId="15" r:id="rId6"/>
    <sheet name="R21 Modular-Varying Effort" sheetId="1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8" i="24" l="1"/>
  <c r="K18" i="24"/>
  <c r="B28" i="12"/>
  <c r="B27" i="12"/>
  <c r="B26" i="12"/>
  <c r="B28" i="14"/>
  <c r="B27" i="14"/>
  <c r="B26" i="14"/>
  <c r="B28" i="24"/>
  <c r="B27" i="24"/>
  <c r="B26" i="24"/>
  <c r="B28" i="16"/>
  <c r="B27" i="16"/>
  <c r="B26" i="16"/>
  <c r="B28" i="15"/>
  <c r="B27" i="15"/>
  <c r="B26" i="15"/>
  <c r="B28" i="18"/>
  <c r="B27" i="18"/>
  <c r="B26" i="18"/>
  <c r="I111" i="18"/>
  <c r="J111" i="18" s="1"/>
  <c r="C111" i="18"/>
  <c r="D111" i="18" s="1"/>
  <c r="B111" i="18"/>
  <c r="E111" i="18" s="1"/>
  <c r="F111" i="18" s="1"/>
  <c r="I110" i="18"/>
  <c r="J110" i="18" s="1"/>
  <c r="C110" i="18"/>
  <c r="D110" i="18" s="1"/>
  <c r="I109" i="18"/>
  <c r="J109" i="18" s="1"/>
  <c r="C109" i="18"/>
  <c r="D109" i="18" s="1"/>
  <c r="B109" i="18"/>
  <c r="E109" i="18" s="1"/>
  <c r="I108" i="18"/>
  <c r="J108" i="18" s="1"/>
  <c r="C108" i="18"/>
  <c r="D108" i="18" s="1"/>
  <c r="I107" i="18"/>
  <c r="J107" i="18" s="1"/>
  <c r="C107" i="18"/>
  <c r="D107" i="18" s="1"/>
  <c r="B107" i="18"/>
  <c r="E107" i="18" s="1"/>
  <c r="AA111" i="16"/>
  <c r="AB111" i="16" s="1"/>
  <c r="AA110" i="16"/>
  <c r="AB110" i="16" s="1"/>
  <c r="AA109" i="16"/>
  <c r="AB109" i="16" s="1"/>
  <c r="AA108" i="16"/>
  <c r="AA107" i="16"/>
  <c r="U111" i="16"/>
  <c r="V111" i="16" s="1"/>
  <c r="U110" i="16"/>
  <c r="V110" i="16" s="1"/>
  <c r="U109" i="16"/>
  <c r="V109" i="16" s="1"/>
  <c r="U108" i="16"/>
  <c r="V108" i="16" s="1"/>
  <c r="U107" i="16"/>
  <c r="V107" i="16" s="1"/>
  <c r="O111" i="16"/>
  <c r="O110" i="16"/>
  <c r="P110" i="16" s="1"/>
  <c r="O109" i="16"/>
  <c r="P109" i="16" s="1"/>
  <c r="O108" i="16"/>
  <c r="P108" i="16" s="1"/>
  <c r="O107" i="16"/>
  <c r="P107" i="16" s="1"/>
  <c r="I111" i="16"/>
  <c r="J111" i="16" s="1"/>
  <c r="I110" i="16"/>
  <c r="J110" i="16" s="1"/>
  <c r="I109" i="16"/>
  <c r="J109" i="16" s="1"/>
  <c r="I108" i="16"/>
  <c r="J108" i="16" s="1"/>
  <c r="I107" i="16"/>
  <c r="J107" i="16" s="1"/>
  <c r="C108" i="16"/>
  <c r="D108" i="16" s="1"/>
  <c r="B109" i="16"/>
  <c r="K109" i="16" s="1"/>
  <c r="C109" i="16"/>
  <c r="D109" i="16" s="1"/>
  <c r="C110" i="16"/>
  <c r="D110" i="16" s="1"/>
  <c r="B111" i="16"/>
  <c r="E111" i="16" s="1"/>
  <c r="F111" i="16" s="1"/>
  <c r="C111" i="16"/>
  <c r="D111" i="16" s="1"/>
  <c r="C107" i="16"/>
  <c r="D107" i="16" s="1"/>
  <c r="B107" i="16"/>
  <c r="E107" i="16" s="1"/>
  <c r="P111" i="16"/>
  <c r="AB108" i="16"/>
  <c r="AB107" i="16"/>
  <c r="AA96" i="24"/>
  <c r="AB96" i="24" s="1"/>
  <c r="AA100" i="24"/>
  <c r="AB100" i="24" s="1"/>
  <c r="AA99" i="24"/>
  <c r="AB99" i="24" s="1"/>
  <c r="AA98" i="24"/>
  <c r="AB98" i="24" s="1"/>
  <c r="AA97" i="24"/>
  <c r="AB97" i="24" s="1"/>
  <c r="U100" i="24"/>
  <c r="U99" i="24"/>
  <c r="V99" i="24" s="1"/>
  <c r="U98" i="24"/>
  <c r="V98" i="24" s="1"/>
  <c r="U97" i="24"/>
  <c r="V97" i="24" s="1"/>
  <c r="U96" i="24"/>
  <c r="O100" i="24"/>
  <c r="O99" i="24"/>
  <c r="P99" i="24" s="1"/>
  <c r="O98" i="24"/>
  <c r="P98" i="24" s="1"/>
  <c r="O97" i="24"/>
  <c r="P97" i="24" s="1"/>
  <c r="O96" i="24"/>
  <c r="P96" i="24" s="1"/>
  <c r="I97" i="24"/>
  <c r="J97" i="24" s="1"/>
  <c r="I98" i="24"/>
  <c r="J98" i="24" s="1"/>
  <c r="I99" i="24"/>
  <c r="J99" i="24" s="1"/>
  <c r="I100" i="24"/>
  <c r="J100" i="24" s="1"/>
  <c r="I96" i="24"/>
  <c r="J96" i="24" s="1"/>
  <c r="C97" i="24"/>
  <c r="D97" i="24" s="1"/>
  <c r="B98" i="24"/>
  <c r="W98" i="24" s="1"/>
  <c r="C98" i="24"/>
  <c r="D98" i="24" s="1"/>
  <c r="C99" i="24"/>
  <c r="D99" i="24" s="1"/>
  <c r="B100" i="24"/>
  <c r="W100" i="24" s="1"/>
  <c r="X100" i="24" s="1"/>
  <c r="C100" i="24"/>
  <c r="D100" i="24" s="1"/>
  <c r="C96" i="24"/>
  <c r="D96" i="24" s="1"/>
  <c r="B96" i="24"/>
  <c r="E96" i="24" s="1"/>
  <c r="V100" i="24"/>
  <c r="P100" i="24"/>
  <c r="AC98" i="24"/>
  <c r="AC96" i="24"/>
  <c r="V96" i="24"/>
  <c r="B107" i="15"/>
  <c r="E107" i="15" s="1"/>
  <c r="I111" i="15"/>
  <c r="C111" i="15"/>
  <c r="D111" i="15" s="1"/>
  <c r="B111" i="15"/>
  <c r="E111" i="15" s="1"/>
  <c r="F111" i="15" s="1"/>
  <c r="I110" i="15"/>
  <c r="C110" i="15"/>
  <c r="D110" i="15" s="1"/>
  <c r="I109" i="15"/>
  <c r="C109" i="15"/>
  <c r="D109" i="15" s="1"/>
  <c r="B109" i="15"/>
  <c r="E109" i="15" s="1"/>
  <c r="I108" i="15"/>
  <c r="C108" i="15"/>
  <c r="D108" i="15" s="1"/>
  <c r="I107" i="15"/>
  <c r="C107" i="15"/>
  <c r="D107" i="15" s="1"/>
  <c r="K107" i="16" l="1"/>
  <c r="E109" i="16"/>
  <c r="K98" i="24"/>
  <c r="K96" i="24"/>
  <c r="W96" i="24"/>
  <c r="AC100" i="24"/>
  <c r="AD100" i="24" s="1"/>
  <c r="K111" i="18"/>
  <c r="K109" i="18"/>
  <c r="K107" i="18"/>
  <c r="G111" i="18"/>
  <c r="H111" i="18" s="1"/>
  <c r="K111" i="16"/>
  <c r="G111" i="16"/>
  <c r="H111" i="16" s="1"/>
  <c r="E100" i="24"/>
  <c r="K100" i="24"/>
  <c r="E98" i="24"/>
  <c r="G111" i="15"/>
  <c r="H111" i="15" s="1"/>
  <c r="E107" i="14"/>
  <c r="C108" i="14"/>
  <c r="D108" i="14" s="1"/>
  <c r="C109" i="14"/>
  <c r="C110" i="14"/>
  <c r="D110" i="14" s="1"/>
  <c r="C111" i="14"/>
  <c r="D111" i="14" s="1"/>
  <c r="C107" i="14"/>
  <c r="D107" i="14" s="1"/>
  <c r="B109" i="14"/>
  <c r="B111" i="14"/>
  <c r="B107" i="14"/>
  <c r="U111" i="14"/>
  <c r="Q111" i="14"/>
  <c r="I111" i="14"/>
  <c r="E111" i="14"/>
  <c r="F111" i="14" s="1"/>
  <c r="U110" i="14"/>
  <c r="Q110" i="14"/>
  <c r="I110" i="14"/>
  <c r="U109" i="14"/>
  <c r="Q109" i="14"/>
  <c r="I109" i="14"/>
  <c r="D109" i="14"/>
  <c r="E109" i="14"/>
  <c r="U108" i="14"/>
  <c r="Q108" i="14"/>
  <c r="I108" i="14"/>
  <c r="U107" i="14"/>
  <c r="Q107" i="14"/>
  <c r="I107" i="14"/>
  <c r="C97" i="12"/>
  <c r="C98" i="12"/>
  <c r="D98" i="12" s="1"/>
  <c r="C99" i="12"/>
  <c r="D99" i="12" s="1"/>
  <c r="C100" i="12"/>
  <c r="D100" i="12" s="1"/>
  <c r="C96" i="12"/>
  <c r="B100" i="12"/>
  <c r="B98" i="12"/>
  <c r="E98" i="12" s="1"/>
  <c r="B96" i="12"/>
  <c r="E96" i="12" s="1"/>
  <c r="D97" i="12"/>
  <c r="K28" i="18"/>
  <c r="K27" i="18"/>
  <c r="K26" i="18"/>
  <c r="K25" i="18"/>
  <c r="K24" i="18"/>
  <c r="K23" i="18"/>
  <c r="K22" i="18"/>
  <c r="K20" i="18"/>
  <c r="K18" i="18"/>
  <c r="E28" i="18"/>
  <c r="E27" i="18"/>
  <c r="E26" i="18"/>
  <c r="E25" i="18"/>
  <c r="E24" i="18"/>
  <c r="E23" i="18"/>
  <c r="E22" i="18"/>
  <c r="E20" i="18"/>
  <c r="E18" i="18"/>
  <c r="I24" i="15"/>
  <c r="I28" i="15"/>
  <c r="I27" i="15"/>
  <c r="I26" i="15"/>
  <c r="I25" i="15"/>
  <c r="I23" i="15"/>
  <c r="I22" i="15"/>
  <c r="I21" i="15"/>
  <c r="I20" i="15"/>
  <c r="I18" i="15"/>
  <c r="E28" i="15"/>
  <c r="E27" i="15"/>
  <c r="E26" i="15"/>
  <c r="E25" i="15"/>
  <c r="E24" i="15"/>
  <c r="E23" i="15"/>
  <c r="E22" i="15"/>
  <c r="E20" i="15"/>
  <c r="E18" i="15"/>
  <c r="K28" i="16"/>
  <c r="K27" i="16"/>
  <c r="K26" i="16"/>
  <c r="K25" i="16"/>
  <c r="K24" i="16"/>
  <c r="K23" i="16"/>
  <c r="K22" i="16"/>
  <c r="K20" i="16"/>
  <c r="K18" i="16"/>
  <c r="E28" i="16"/>
  <c r="E27" i="16"/>
  <c r="E26" i="16"/>
  <c r="E25" i="16"/>
  <c r="E24" i="16"/>
  <c r="E23" i="16"/>
  <c r="E22" i="16"/>
  <c r="E20" i="16"/>
  <c r="E18" i="16"/>
  <c r="W18" i="24"/>
  <c r="AC20" i="24"/>
  <c r="AC22" i="24"/>
  <c r="AC23" i="24"/>
  <c r="AC24" i="24"/>
  <c r="AC25" i="24"/>
  <c r="AC26" i="24"/>
  <c r="AC27" i="24"/>
  <c r="AC28" i="24"/>
  <c r="AC18" i="24"/>
  <c r="W20" i="24"/>
  <c r="W22" i="24"/>
  <c r="W23" i="24"/>
  <c r="W24" i="24"/>
  <c r="W25" i="24"/>
  <c r="W26" i="24"/>
  <c r="W27" i="24"/>
  <c r="W28" i="24"/>
  <c r="K20" i="24"/>
  <c r="K22" i="24"/>
  <c r="K23" i="24"/>
  <c r="K24" i="24"/>
  <c r="K25" i="24"/>
  <c r="K26" i="24"/>
  <c r="K27" i="24"/>
  <c r="K28" i="24"/>
  <c r="E18" i="24"/>
  <c r="E28" i="24"/>
  <c r="E27" i="24"/>
  <c r="E26" i="24"/>
  <c r="E25" i="24"/>
  <c r="E24" i="24"/>
  <c r="E23" i="24"/>
  <c r="E22" i="24"/>
  <c r="E20" i="24"/>
  <c r="U28" i="14"/>
  <c r="U27" i="14"/>
  <c r="U26" i="14"/>
  <c r="U25" i="14"/>
  <c r="U24" i="14"/>
  <c r="U23" i="14"/>
  <c r="U22" i="14"/>
  <c r="U21" i="14"/>
  <c r="U20" i="14"/>
  <c r="U18" i="14"/>
  <c r="Q28" i="14"/>
  <c r="Q27" i="14"/>
  <c r="Q26" i="14"/>
  <c r="Q25" i="14"/>
  <c r="Q24" i="14"/>
  <c r="Q23" i="14"/>
  <c r="Q22" i="14"/>
  <c r="Q21" i="14"/>
  <c r="Q20" i="14"/>
  <c r="Q18" i="14"/>
  <c r="I28" i="14"/>
  <c r="I27" i="14"/>
  <c r="I26" i="14"/>
  <c r="I25" i="14"/>
  <c r="I24" i="14"/>
  <c r="I23" i="14"/>
  <c r="I22" i="14"/>
  <c r="I20" i="14"/>
  <c r="I18" i="14"/>
  <c r="E18" i="14"/>
  <c r="E28" i="14"/>
  <c r="E27" i="14"/>
  <c r="E26" i="14"/>
  <c r="E25" i="14"/>
  <c r="E24" i="14"/>
  <c r="E23" i="14"/>
  <c r="E22" i="14"/>
  <c r="E20" i="14"/>
  <c r="I20" i="12"/>
  <c r="I22" i="12"/>
  <c r="I23" i="12"/>
  <c r="I24" i="12"/>
  <c r="I25" i="12"/>
  <c r="I26" i="12"/>
  <c r="I27" i="12"/>
  <c r="I28" i="12"/>
  <c r="I18" i="12"/>
  <c r="E20" i="12"/>
  <c r="E22" i="12"/>
  <c r="E23" i="12"/>
  <c r="E24" i="12"/>
  <c r="E25" i="12"/>
  <c r="E26" i="12"/>
  <c r="E27" i="12"/>
  <c r="E28" i="12"/>
  <c r="E18" i="12"/>
  <c r="I98" i="12" l="1"/>
  <c r="G111" i="14"/>
  <c r="H111" i="14" s="1"/>
  <c r="I100" i="12"/>
  <c r="I96" i="12"/>
  <c r="D96" i="12"/>
  <c r="E100" i="12"/>
  <c r="X44" i="14" l="1"/>
  <c r="N71" i="18" l="1"/>
  <c r="O71" i="18" s="1"/>
  <c r="H71" i="18"/>
  <c r="G71" i="18" s="1"/>
  <c r="O70" i="18"/>
  <c r="O69" i="18"/>
  <c r="N48" i="18"/>
  <c r="H48" i="18"/>
  <c r="N52" i="18"/>
  <c r="H52" i="18"/>
  <c r="L71" i="15"/>
  <c r="H71" i="15"/>
  <c r="M70" i="15"/>
  <c r="M69" i="15"/>
  <c r="L48" i="15"/>
  <c r="H48" i="15"/>
  <c r="L52" i="15"/>
  <c r="H52" i="15"/>
  <c r="M52" i="15" s="1"/>
  <c r="AF71" i="16"/>
  <c r="Z71" i="16"/>
  <c r="T71" i="16"/>
  <c r="N71" i="16"/>
  <c r="H71" i="16"/>
  <c r="AG70" i="16"/>
  <c r="AG69" i="16"/>
  <c r="N52" i="16"/>
  <c r="H52" i="16"/>
  <c r="N48" i="16"/>
  <c r="H48" i="16"/>
  <c r="AF71" i="24"/>
  <c r="Z71" i="24"/>
  <c r="T71" i="24"/>
  <c r="N71" i="24"/>
  <c r="H71" i="24"/>
  <c r="AG70" i="24"/>
  <c r="AG69" i="24"/>
  <c r="N51" i="24"/>
  <c r="H51" i="24"/>
  <c r="N48" i="24"/>
  <c r="H48" i="24"/>
  <c r="X71" i="14"/>
  <c r="T71" i="14"/>
  <c r="P71" i="14"/>
  <c r="L71" i="14"/>
  <c r="H71" i="14"/>
  <c r="Y70" i="14"/>
  <c r="Y69" i="14"/>
  <c r="X48" i="14"/>
  <c r="T48" i="14"/>
  <c r="L48" i="14"/>
  <c r="H48" i="14"/>
  <c r="X51" i="14"/>
  <c r="T51" i="14"/>
  <c r="L51" i="14"/>
  <c r="H51" i="14"/>
  <c r="X71" i="12"/>
  <c r="T71" i="12"/>
  <c r="P71" i="12"/>
  <c r="L71" i="12"/>
  <c r="H71" i="12"/>
  <c r="Y70" i="12"/>
  <c r="Y69" i="12"/>
  <c r="L52" i="12"/>
  <c r="H52" i="12"/>
  <c r="L48" i="12"/>
  <c r="H48" i="12"/>
  <c r="H45" i="16"/>
  <c r="H47" i="14"/>
  <c r="H45" i="14"/>
  <c r="N50" i="18"/>
  <c r="H50" i="18"/>
  <c r="L50" i="15"/>
  <c r="H50" i="15"/>
  <c r="N50" i="16"/>
  <c r="H50" i="16"/>
  <c r="N50" i="24"/>
  <c r="H50" i="24"/>
  <c r="X50" i="14"/>
  <c r="T50" i="14"/>
  <c r="L50" i="14"/>
  <c r="H50" i="14"/>
  <c r="L51" i="12"/>
  <c r="H51" i="12"/>
  <c r="L28" i="24"/>
  <c r="O48" i="18" l="1"/>
  <c r="O52" i="18"/>
  <c r="O50" i="18"/>
  <c r="M50" i="15"/>
  <c r="M71" i="15"/>
  <c r="AG71" i="16"/>
  <c r="AG71" i="24"/>
  <c r="Y71" i="14"/>
  <c r="Y71" i="12"/>
  <c r="M71" i="18"/>
  <c r="G71" i="15"/>
  <c r="K71" i="15" s="1"/>
  <c r="M48" i="15"/>
  <c r="G71" i="16"/>
  <c r="M71" i="16" s="1"/>
  <c r="S71" i="16" s="1"/>
  <c r="Y71" i="16" s="1"/>
  <c r="AE71" i="16" s="1"/>
  <c r="G71" i="24"/>
  <c r="M71" i="24" s="1"/>
  <c r="S71" i="24" s="1"/>
  <c r="Y71" i="24" s="1"/>
  <c r="AE71" i="24" s="1"/>
  <c r="G71" i="14"/>
  <c r="K71" i="14" s="1"/>
  <c r="O71" i="14" s="1"/>
  <c r="S71" i="14" s="1"/>
  <c r="W71" i="14" s="1"/>
  <c r="G71" i="12"/>
  <c r="K71" i="12" s="1"/>
  <c r="O71" i="12" s="1"/>
  <c r="S71" i="12" s="1"/>
  <c r="W71" i="12" s="1"/>
  <c r="L28" i="18"/>
  <c r="F28" i="18"/>
  <c r="G28" i="18" s="1"/>
  <c r="L25" i="18"/>
  <c r="M25" i="18" s="1"/>
  <c r="F25" i="18"/>
  <c r="G25" i="18" s="1"/>
  <c r="L24" i="18"/>
  <c r="F24" i="18"/>
  <c r="G24" i="18" s="1"/>
  <c r="L23" i="18"/>
  <c r="M23" i="18" s="1"/>
  <c r="F23" i="18"/>
  <c r="G23" i="18" s="1"/>
  <c r="L22" i="18"/>
  <c r="F22" i="18"/>
  <c r="G22" i="18" s="1"/>
  <c r="J28" i="18"/>
  <c r="D28" i="18"/>
  <c r="J27" i="18"/>
  <c r="D27" i="18"/>
  <c r="J26" i="18"/>
  <c r="D26" i="18"/>
  <c r="J25" i="18"/>
  <c r="D25" i="18"/>
  <c r="J24" i="18"/>
  <c r="D24" i="18"/>
  <c r="J23" i="18"/>
  <c r="D23" i="18"/>
  <c r="J22" i="18"/>
  <c r="D22" i="18"/>
  <c r="J21" i="18"/>
  <c r="D21" i="18"/>
  <c r="J20" i="18"/>
  <c r="D20" i="18"/>
  <c r="J19" i="18"/>
  <c r="D19" i="18"/>
  <c r="J18" i="18"/>
  <c r="D18" i="18"/>
  <c r="AB28" i="16"/>
  <c r="V28" i="16"/>
  <c r="P28" i="16"/>
  <c r="L28" i="16"/>
  <c r="J28" i="16"/>
  <c r="F28" i="16"/>
  <c r="D28" i="16"/>
  <c r="AB27" i="16"/>
  <c r="V27" i="16"/>
  <c r="P27" i="16"/>
  <c r="J27" i="16"/>
  <c r="D27" i="16"/>
  <c r="AB26" i="16"/>
  <c r="V26" i="16"/>
  <c r="P26" i="16"/>
  <c r="J26" i="16"/>
  <c r="D26" i="16"/>
  <c r="AB25" i="16"/>
  <c r="V25" i="16"/>
  <c r="P25" i="16"/>
  <c r="L25" i="16"/>
  <c r="J25" i="16"/>
  <c r="F25" i="16"/>
  <c r="D25" i="16"/>
  <c r="AB24" i="16"/>
  <c r="V24" i="16"/>
  <c r="P24" i="16"/>
  <c r="L24" i="16"/>
  <c r="J24" i="16"/>
  <c r="F24" i="16"/>
  <c r="D24" i="16"/>
  <c r="AB23" i="16"/>
  <c r="V23" i="16"/>
  <c r="P23" i="16"/>
  <c r="L23" i="16"/>
  <c r="J23" i="16"/>
  <c r="F23" i="16"/>
  <c r="D23" i="16"/>
  <c r="AB22" i="16"/>
  <c r="V22" i="16"/>
  <c r="P22" i="16"/>
  <c r="L22" i="16"/>
  <c r="L111" i="16" s="1"/>
  <c r="M111" i="16" s="1"/>
  <c r="N111" i="16" s="1"/>
  <c r="J22" i="16"/>
  <c r="F22" i="16"/>
  <c r="D22" i="16"/>
  <c r="AB21" i="16"/>
  <c r="V21" i="16"/>
  <c r="P21" i="16"/>
  <c r="J21" i="16"/>
  <c r="D21" i="16"/>
  <c r="AB20" i="16"/>
  <c r="V20" i="16"/>
  <c r="P20" i="16"/>
  <c r="J20" i="16"/>
  <c r="D20" i="16"/>
  <c r="AB19" i="16"/>
  <c r="V19" i="16"/>
  <c r="P19" i="16"/>
  <c r="J19" i="16"/>
  <c r="D19" i="16"/>
  <c r="AB18" i="16"/>
  <c r="V18" i="16"/>
  <c r="P18" i="16"/>
  <c r="J18" i="16"/>
  <c r="D18" i="16"/>
  <c r="L23" i="24"/>
  <c r="L24" i="24"/>
  <c r="L25" i="24"/>
  <c r="L22" i="24"/>
  <c r="L100" i="24" s="1"/>
  <c r="M100" i="24" s="1"/>
  <c r="N100" i="24" s="1"/>
  <c r="F25" i="24"/>
  <c r="G25" i="24" s="1"/>
  <c r="F22" i="24"/>
  <c r="F28" i="24"/>
  <c r="F24" i="24"/>
  <c r="F23" i="24"/>
  <c r="F28" i="15"/>
  <c r="G28" i="15" s="1"/>
  <c r="F25" i="15"/>
  <c r="G25" i="15" s="1"/>
  <c r="F24" i="15"/>
  <c r="G24" i="15" s="1"/>
  <c r="F23" i="15"/>
  <c r="G23" i="15" s="1"/>
  <c r="F22" i="15"/>
  <c r="J22" i="15" s="1"/>
  <c r="J20" i="15"/>
  <c r="F22" i="14"/>
  <c r="G22" i="14" s="1"/>
  <c r="F28" i="14"/>
  <c r="J28" i="14" s="1"/>
  <c r="F25" i="14"/>
  <c r="F24" i="14"/>
  <c r="J24" i="14" s="1"/>
  <c r="F23" i="14"/>
  <c r="G23" i="14" s="1"/>
  <c r="H23" i="14" s="1"/>
  <c r="F24" i="12"/>
  <c r="G24" i="12" s="1"/>
  <c r="F23" i="12"/>
  <c r="G23" i="12" s="1"/>
  <c r="F25" i="12"/>
  <c r="G25" i="12" s="1"/>
  <c r="F28" i="12"/>
  <c r="J28" i="12" s="1"/>
  <c r="K28" i="12" s="1"/>
  <c r="F22" i="12"/>
  <c r="F100" i="24" l="1"/>
  <c r="G100" i="24" s="1"/>
  <c r="H100" i="24" s="1"/>
  <c r="J22" i="12"/>
  <c r="J100" i="12" s="1"/>
  <c r="K100" i="12" s="1"/>
  <c r="L100" i="12" s="1"/>
  <c r="F100" i="12"/>
  <c r="M22" i="18"/>
  <c r="N22" i="18" s="1"/>
  <c r="L111" i="18"/>
  <c r="M111" i="18" s="1"/>
  <c r="N111" i="18" s="1"/>
  <c r="O111" i="18" s="1"/>
  <c r="K22" i="15"/>
  <c r="L22" i="15" s="1"/>
  <c r="J111" i="15"/>
  <c r="K111" i="15" s="1"/>
  <c r="L111" i="15" s="1"/>
  <c r="M111" i="15" s="1"/>
  <c r="K20" i="15"/>
  <c r="L20" i="15" s="1"/>
  <c r="J109" i="15"/>
  <c r="K109" i="15" s="1"/>
  <c r="L109" i="15" s="1"/>
  <c r="J23" i="14"/>
  <c r="K23" i="14" s="1"/>
  <c r="G28" i="12"/>
  <c r="H28" i="12" s="1"/>
  <c r="M24" i="18"/>
  <c r="N24" i="18" s="1"/>
  <c r="M28" i="18"/>
  <c r="N28" i="18" s="1"/>
  <c r="J24" i="12"/>
  <c r="K24" i="12" s="1"/>
  <c r="J22" i="14"/>
  <c r="J24" i="15"/>
  <c r="K24" i="15" s="1"/>
  <c r="L24" i="15" s="1"/>
  <c r="N25" i="18"/>
  <c r="N23" i="18"/>
  <c r="H22" i="18"/>
  <c r="H23" i="18"/>
  <c r="H24" i="18"/>
  <c r="H25" i="18"/>
  <c r="H28" i="18"/>
  <c r="M22" i="16"/>
  <c r="N22" i="16" s="1"/>
  <c r="G23" i="16"/>
  <c r="H23" i="16" s="1"/>
  <c r="M24" i="16"/>
  <c r="N24" i="16" s="1"/>
  <c r="G25" i="16"/>
  <c r="H25" i="16" s="1"/>
  <c r="M28" i="16"/>
  <c r="N28" i="16" s="1"/>
  <c r="G22" i="16"/>
  <c r="H22" i="16" s="1"/>
  <c r="M23" i="16"/>
  <c r="N23" i="16" s="1"/>
  <c r="G24" i="16"/>
  <c r="H24" i="16" s="1"/>
  <c r="M25" i="16"/>
  <c r="N25" i="16" s="1"/>
  <c r="G28" i="16"/>
  <c r="H28" i="16" s="1"/>
  <c r="J25" i="15"/>
  <c r="K25" i="15" s="1"/>
  <c r="L25" i="15" s="1"/>
  <c r="J23" i="15"/>
  <c r="K23" i="15" s="1"/>
  <c r="J28" i="15"/>
  <c r="K28" i="15" s="1"/>
  <c r="H25" i="15"/>
  <c r="G22" i="15"/>
  <c r="H22" i="15" s="1"/>
  <c r="H24" i="15"/>
  <c r="H28" i="15"/>
  <c r="H23" i="15"/>
  <c r="H22" i="14"/>
  <c r="G25" i="14"/>
  <c r="H25" i="14" s="1"/>
  <c r="J25" i="14"/>
  <c r="K25" i="14" s="1"/>
  <c r="L25" i="14" s="1"/>
  <c r="G28" i="14"/>
  <c r="H28" i="14" s="1"/>
  <c r="K28" i="14"/>
  <c r="L28" i="14" s="1"/>
  <c r="K24" i="14"/>
  <c r="L24" i="14" s="1"/>
  <c r="G24" i="14"/>
  <c r="H24" i="14" s="1"/>
  <c r="H25" i="12"/>
  <c r="L28" i="12"/>
  <c r="J25" i="12"/>
  <c r="K25" i="12" s="1"/>
  <c r="J23" i="12"/>
  <c r="K22" i="12"/>
  <c r="L22" i="12" s="1"/>
  <c r="H24" i="12"/>
  <c r="H23" i="12"/>
  <c r="G22" i="12"/>
  <c r="N2" i="18"/>
  <c r="L18" i="18" s="1"/>
  <c r="L107" i="18" s="1"/>
  <c r="M107" i="18" s="1"/>
  <c r="N107" i="18" s="1"/>
  <c r="L2" i="15"/>
  <c r="N2" i="16"/>
  <c r="N2" i="24"/>
  <c r="L2" i="14"/>
  <c r="L2" i="12"/>
  <c r="N96" i="18"/>
  <c r="H96" i="18"/>
  <c r="L96" i="15"/>
  <c r="H96" i="15"/>
  <c r="AF96" i="16"/>
  <c r="Z96" i="16"/>
  <c r="T96" i="16"/>
  <c r="N96" i="16"/>
  <c r="H96" i="16"/>
  <c r="X96" i="14"/>
  <c r="T96" i="14"/>
  <c r="P96" i="14"/>
  <c r="L96" i="14"/>
  <c r="N85" i="16"/>
  <c r="H85" i="14"/>
  <c r="L85" i="14"/>
  <c r="H96" i="14"/>
  <c r="N85" i="18"/>
  <c r="H85" i="18"/>
  <c r="N75" i="18"/>
  <c r="H75" i="18"/>
  <c r="G75" i="18" s="1"/>
  <c r="O74" i="18"/>
  <c r="O73" i="18"/>
  <c r="N67" i="18"/>
  <c r="H67" i="18"/>
  <c r="G67" i="18" s="1"/>
  <c r="O66" i="18"/>
  <c r="O65" i="18"/>
  <c r="N63" i="18"/>
  <c r="H63" i="18"/>
  <c r="G63" i="18" s="1"/>
  <c r="O62" i="18"/>
  <c r="O61" i="18"/>
  <c r="N59" i="18"/>
  <c r="H59" i="18"/>
  <c r="G59" i="18" s="1"/>
  <c r="O58" i="18"/>
  <c r="O57" i="18"/>
  <c r="N53" i="18"/>
  <c r="H53" i="18"/>
  <c r="N51" i="18"/>
  <c r="H51" i="18"/>
  <c r="N49" i="18"/>
  <c r="H49" i="18"/>
  <c r="N47" i="18"/>
  <c r="N98" i="18" s="1"/>
  <c r="H47" i="18"/>
  <c r="H98" i="18" s="1"/>
  <c r="N46" i="18"/>
  <c r="H46" i="18"/>
  <c r="N45" i="18"/>
  <c r="H45" i="18"/>
  <c r="N44" i="18"/>
  <c r="H44" i="18"/>
  <c r="N41" i="18"/>
  <c r="H41" i="18"/>
  <c r="N40" i="18"/>
  <c r="H40" i="18"/>
  <c r="N39" i="18"/>
  <c r="H39" i="18"/>
  <c r="N38" i="18"/>
  <c r="H38" i="18"/>
  <c r="N37" i="18"/>
  <c r="H37" i="18"/>
  <c r="N35" i="18"/>
  <c r="H35" i="18"/>
  <c r="O34" i="18"/>
  <c r="O33" i="18"/>
  <c r="O32" i="18"/>
  <c r="O31" i="18"/>
  <c r="O30" i="18"/>
  <c r="B21" i="18"/>
  <c r="B19" i="18"/>
  <c r="B108" i="18" s="1"/>
  <c r="L85" i="15"/>
  <c r="H85" i="15"/>
  <c r="L75" i="15"/>
  <c r="H75" i="15"/>
  <c r="G75" i="15" s="1"/>
  <c r="M74" i="15"/>
  <c r="M73" i="15"/>
  <c r="L67" i="15"/>
  <c r="H67" i="15"/>
  <c r="M66" i="15"/>
  <c r="M65" i="15"/>
  <c r="L63" i="15"/>
  <c r="H63" i="15"/>
  <c r="G63" i="15" s="1"/>
  <c r="M62" i="15"/>
  <c r="M61" i="15"/>
  <c r="L59" i="15"/>
  <c r="H59" i="15"/>
  <c r="M58" i="15"/>
  <c r="M57" i="15"/>
  <c r="L53" i="15"/>
  <c r="H53" i="15"/>
  <c r="L51" i="15"/>
  <c r="H51" i="15"/>
  <c r="L49" i="15"/>
  <c r="H49" i="15"/>
  <c r="L47" i="15"/>
  <c r="L98" i="15" s="1"/>
  <c r="H47" i="15"/>
  <c r="H98" i="15" s="1"/>
  <c r="L46" i="15"/>
  <c r="H46" i="15"/>
  <c r="L45" i="15"/>
  <c r="H45" i="15"/>
  <c r="L44" i="15"/>
  <c r="H44" i="15"/>
  <c r="L41" i="15"/>
  <c r="H41" i="15"/>
  <c r="L40" i="15"/>
  <c r="H40" i="15"/>
  <c r="L39" i="15"/>
  <c r="H39" i="15"/>
  <c r="L38" i="15"/>
  <c r="H38" i="15"/>
  <c r="L37" i="15"/>
  <c r="H37" i="15"/>
  <c r="L35" i="15"/>
  <c r="H35" i="15"/>
  <c r="M34" i="15"/>
  <c r="M33" i="15"/>
  <c r="M32" i="15"/>
  <c r="D28" i="15"/>
  <c r="D27" i="15"/>
  <c r="F27" i="15"/>
  <c r="G27" i="15" s="1"/>
  <c r="D26" i="15"/>
  <c r="F26" i="15"/>
  <c r="G26" i="15" s="1"/>
  <c r="D25" i="15"/>
  <c r="D24" i="15"/>
  <c r="D23" i="15"/>
  <c r="D22" i="15"/>
  <c r="D21" i="15"/>
  <c r="B21" i="15"/>
  <c r="D20" i="15"/>
  <c r="D19" i="15"/>
  <c r="B19" i="15"/>
  <c r="B108" i="15" s="1"/>
  <c r="E108" i="15" s="1"/>
  <c r="D18" i="15"/>
  <c r="AF85" i="16"/>
  <c r="Z85" i="16"/>
  <c r="T85" i="16"/>
  <c r="H85" i="16"/>
  <c r="AF75" i="16"/>
  <c r="Z75" i="16"/>
  <c r="T75" i="16"/>
  <c r="N75" i="16"/>
  <c r="H75" i="16"/>
  <c r="AG74" i="16"/>
  <c r="AG73" i="16"/>
  <c r="AF67" i="16"/>
  <c r="Z67" i="16"/>
  <c r="T67" i="16"/>
  <c r="N67" i="16"/>
  <c r="H67" i="16"/>
  <c r="G67" i="16" s="1"/>
  <c r="AG66" i="16"/>
  <c r="AG65" i="16"/>
  <c r="AF63" i="16"/>
  <c r="Z63" i="16"/>
  <c r="T63" i="16"/>
  <c r="N63" i="16"/>
  <c r="H63" i="16"/>
  <c r="AG62" i="16"/>
  <c r="AG61" i="16"/>
  <c r="AF59" i="16"/>
  <c r="Z59" i="16"/>
  <c r="T59" i="16"/>
  <c r="N59" i="16"/>
  <c r="H59" i="16"/>
  <c r="G59" i="16" s="1"/>
  <c r="AG58" i="16"/>
  <c r="AG57" i="16"/>
  <c r="N53" i="16"/>
  <c r="H53" i="16"/>
  <c r="N51" i="16"/>
  <c r="H51" i="16"/>
  <c r="N49" i="16"/>
  <c r="H49" i="16"/>
  <c r="N47" i="16"/>
  <c r="H47" i="16"/>
  <c r="H98" i="16" s="1"/>
  <c r="N46" i="16"/>
  <c r="H46" i="16"/>
  <c r="N45" i="16"/>
  <c r="N44" i="16"/>
  <c r="H44" i="16"/>
  <c r="N41" i="16"/>
  <c r="H41" i="16"/>
  <c r="N40" i="16"/>
  <c r="H40" i="16"/>
  <c r="N39" i="16"/>
  <c r="H39" i="16"/>
  <c r="N38" i="16"/>
  <c r="H38" i="16"/>
  <c r="N37" i="16"/>
  <c r="H37" i="16"/>
  <c r="AF35" i="16"/>
  <c r="Z35" i="16"/>
  <c r="T35" i="16"/>
  <c r="N35" i="16"/>
  <c r="H35" i="16"/>
  <c r="AG34" i="16"/>
  <c r="AG33" i="16"/>
  <c r="AG32" i="16"/>
  <c r="B21" i="16"/>
  <c r="B19" i="16"/>
  <c r="B108" i="16" s="1"/>
  <c r="T13" i="16"/>
  <c r="AF85" i="24"/>
  <c r="Z85" i="24"/>
  <c r="T85" i="24"/>
  <c r="N85" i="24"/>
  <c r="H85" i="24"/>
  <c r="AF75" i="24"/>
  <c r="Z75" i="24"/>
  <c r="T75" i="24"/>
  <c r="N75" i="24"/>
  <c r="H75" i="24"/>
  <c r="AG74" i="24"/>
  <c r="AG73" i="24"/>
  <c r="AF67" i="24"/>
  <c r="Z67" i="24"/>
  <c r="T67" i="24"/>
  <c r="N67" i="24"/>
  <c r="H67" i="24"/>
  <c r="G67" i="24" s="1"/>
  <c r="AG66" i="24"/>
  <c r="AG65" i="24"/>
  <c r="AF63" i="24"/>
  <c r="Z63" i="24"/>
  <c r="T63" i="24"/>
  <c r="N63" i="24"/>
  <c r="H63" i="24"/>
  <c r="AG62" i="24"/>
  <c r="AG61" i="24"/>
  <c r="AF59" i="24"/>
  <c r="Z59" i="24"/>
  <c r="T59" i="24"/>
  <c r="N59" i="24"/>
  <c r="H59" i="24"/>
  <c r="G59" i="24" s="1"/>
  <c r="AG58" i="24"/>
  <c r="AG57" i="24"/>
  <c r="N53" i="24"/>
  <c r="H53" i="24"/>
  <c r="N52" i="24"/>
  <c r="H52" i="24"/>
  <c r="N49" i="24"/>
  <c r="H49" i="24"/>
  <c r="N47" i="24"/>
  <c r="N87" i="24" s="1"/>
  <c r="H47" i="24"/>
  <c r="H87" i="24" s="1"/>
  <c r="N46" i="24"/>
  <c r="H46" i="24"/>
  <c r="N45" i="24"/>
  <c r="H45" i="24"/>
  <c r="N44" i="24"/>
  <c r="H44" i="24"/>
  <c r="N41" i="24"/>
  <c r="H41" i="24"/>
  <c r="N40" i="24"/>
  <c r="H40" i="24"/>
  <c r="N39" i="24"/>
  <c r="H39" i="24"/>
  <c r="N38" i="24"/>
  <c r="H38" i="24"/>
  <c r="N37" i="24"/>
  <c r="H37" i="24"/>
  <c r="AF35" i="24"/>
  <c r="Z35" i="24"/>
  <c r="T35" i="24"/>
  <c r="N35" i="24"/>
  <c r="H35" i="24"/>
  <c r="AG34" i="24"/>
  <c r="AG33" i="24"/>
  <c r="AG32" i="24"/>
  <c r="AB28" i="24"/>
  <c r="V28" i="24"/>
  <c r="P28" i="24"/>
  <c r="J28" i="24"/>
  <c r="G28" i="24"/>
  <c r="H28" i="24" s="1"/>
  <c r="D28" i="24"/>
  <c r="AB27" i="24"/>
  <c r="V27" i="24"/>
  <c r="P27" i="24"/>
  <c r="J27" i="24"/>
  <c r="D27" i="24"/>
  <c r="AB26" i="24"/>
  <c r="V26" i="24"/>
  <c r="P26" i="24"/>
  <c r="J26" i="24"/>
  <c r="D26" i="24"/>
  <c r="AB25" i="24"/>
  <c r="V25" i="24"/>
  <c r="P25" i="24"/>
  <c r="J25" i="24"/>
  <c r="D25" i="24"/>
  <c r="AB24" i="24"/>
  <c r="V24" i="24"/>
  <c r="P24" i="24"/>
  <c r="J24" i="24"/>
  <c r="D24" i="24"/>
  <c r="AB23" i="24"/>
  <c r="V23" i="24"/>
  <c r="P23" i="24"/>
  <c r="J23" i="24"/>
  <c r="G23" i="24"/>
  <c r="D23" i="24"/>
  <c r="AB22" i="24"/>
  <c r="V22" i="24"/>
  <c r="P22" i="24"/>
  <c r="M22" i="24"/>
  <c r="N22" i="24" s="1"/>
  <c r="J22" i="24"/>
  <c r="G22" i="24"/>
  <c r="H22" i="24" s="1"/>
  <c r="D22" i="24"/>
  <c r="AB21" i="24"/>
  <c r="V21" i="24"/>
  <c r="P21" i="24"/>
  <c r="J21" i="24"/>
  <c r="D21" i="24"/>
  <c r="B21" i="24"/>
  <c r="AB20" i="24"/>
  <c r="V20" i="24"/>
  <c r="P20" i="24"/>
  <c r="J20" i="24"/>
  <c r="D20" i="24"/>
  <c r="AB19" i="24"/>
  <c r="V19" i="24"/>
  <c r="P19" i="24"/>
  <c r="J19" i="24"/>
  <c r="D19" i="24"/>
  <c r="B19" i="24"/>
  <c r="AB18" i="24"/>
  <c r="V18" i="24"/>
  <c r="P18" i="24"/>
  <c r="J18" i="24"/>
  <c r="D18" i="24"/>
  <c r="T13" i="24"/>
  <c r="X85" i="14"/>
  <c r="T85" i="14"/>
  <c r="P85" i="14"/>
  <c r="X75" i="14"/>
  <c r="T75" i="14"/>
  <c r="P75" i="14"/>
  <c r="L75" i="14"/>
  <c r="H75" i="14"/>
  <c r="Y74" i="14"/>
  <c r="Y73" i="14"/>
  <c r="X67" i="14"/>
  <c r="T67" i="14"/>
  <c r="P67" i="14"/>
  <c r="L67" i="14"/>
  <c r="H67" i="14"/>
  <c r="Y66" i="14"/>
  <c r="Y65" i="14"/>
  <c r="X63" i="14"/>
  <c r="T63" i="14"/>
  <c r="P63" i="14"/>
  <c r="L63" i="14"/>
  <c r="H63" i="14"/>
  <c r="G63" i="14" s="1"/>
  <c r="Y62" i="14"/>
  <c r="Y61" i="14"/>
  <c r="X59" i="14"/>
  <c r="T59" i="14"/>
  <c r="P59" i="14"/>
  <c r="L59" i="14"/>
  <c r="H59" i="14"/>
  <c r="Y58" i="14"/>
  <c r="Y57" i="14"/>
  <c r="L53" i="14"/>
  <c r="H53" i="14"/>
  <c r="L52" i="14"/>
  <c r="H52" i="14"/>
  <c r="L49" i="14"/>
  <c r="H49" i="14"/>
  <c r="L47" i="14"/>
  <c r="L98" i="14" s="1"/>
  <c r="H98" i="14"/>
  <c r="L46" i="14"/>
  <c r="H46" i="14"/>
  <c r="L45" i="14"/>
  <c r="L44" i="14"/>
  <c r="H44" i="14"/>
  <c r="L41" i="14"/>
  <c r="H41" i="14"/>
  <c r="L40" i="14"/>
  <c r="H40" i="14"/>
  <c r="L39" i="14"/>
  <c r="H39" i="14"/>
  <c r="L38" i="14"/>
  <c r="H38" i="14"/>
  <c r="L37" i="14"/>
  <c r="H37" i="14"/>
  <c r="X35" i="14"/>
  <c r="T35" i="14"/>
  <c r="P35" i="14"/>
  <c r="L35" i="14"/>
  <c r="H35" i="14"/>
  <c r="Y34" i="14"/>
  <c r="Y33" i="14"/>
  <c r="Y32" i="14"/>
  <c r="D28" i="14"/>
  <c r="D27" i="14"/>
  <c r="F27" i="14"/>
  <c r="J27" i="14" s="1"/>
  <c r="K27" i="14" s="1"/>
  <c r="L27" i="14" s="1"/>
  <c r="D26" i="14"/>
  <c r="F26" i="14"/>
  <c r="G26" i="14" s="1"/>
  <c r="D25" i="14"/>
  <c r="D24" i="14"/>
  <c r="D23" i="14"/>
  <c r="D22" i="14"/>
  <c r="D21" i="14"/>
  <c r="B21" i="14"/>
  <c r="B110" i="14" s="1"/>
  <c r="E110" i="14" s="1"/>
  <c r="D20" i="14"/>
  <c r="D19" i="14"/>
  <c r="B19" i="14"/>
  <c r="B108" i="14" s="1"/>
  <c r="E108" i="14" s="1"/>
  <c r="D18" i="14"/>
  <c r="P13" i="14"/>
  <c r="X85" i="12"/>
  <c r="T85" i="12"/>
  <c r="P85" i="12"/>
  <c r="L85" i="12"/>
  <c r="H85" i="12"/>
  <c r="X75" i="12"/>
  <c r="T75" i="12"/>
  <c r="P75" i="12"/>
  <c r="L75" i="12"/>
  <c r="H75" i="12"/>
  <c r="Y74" i="12"/>
  <c r="Y73" i="12"/>
  <c r="X67" i="12"/>
  <c r="T67" i="12"/>
  <c r="P67" i="12"/>
  <c r="L67" i="12"/>
  <c r="H67" i="12"/>
  <c r="G67" i="12" s="1"/>
  <c r="Y66" i="12"/>
  <c r="Y65" i="12"/>
  <c r="X63" i="12"/>
  <c r="T63" i="12"/>
  <c r="P63" i="12"/>
  <c r="L63" i="12"/>
  <c r="H63" i="12"/>
  <c r="G63" i="12" s="1"/>
  <c r="Y62" i="12"/>
  <c r="Y61" i="12"/>
  <c r="X59" i="12"/>
  <c r="T59" i="12"/>
  <c r="P59" i="12"/>
  <c r="L59" i="12"/>
  <c r="H59" i="12"/>
  <c r="G59" i="12" s="1"/>
  <c r="Y58" i="12"/>
  <c r="Y57" i="12"/>
  <c r="L53" i="12"/>
  <c r="H53" i="12"/>
  <c r="L50" i="12"/>
  <c r="H50" i="12"/>
  <c r="L49" i="12"/>
  <c r="H49" i="12"/>
  <c r="L47" i="12"/>
  <c r="L87" i="12" s="1"/>
  <c r="H47" i="12"/>
  <c r="H87" i="12" s="1"/>
  <c r="L46" i="12"/>
  <c r="H46" i="12"/>
  <c r="L45" i="12"/>
  <c r="H45" i="12"/>
  <c r="L44" i="12"/>
  <c r="H44" i="12"/>
  <c r="L41" i="12"/>
  <c r="H41" i="12"/>
  <c r="L40" i="12"/>
  <c r="H40" i="12"/>
  <c r="L39" i="12"/>
  <c r="H39" i="12"/>
  <c r="L38" i="12"/>
  <c r="H38" i="12"/>
  <c r="L37" i="12"/>
  <c r="H37" i="12"/>
  <c r="X35" i="12"/>
  <c r="T35" i="12"/>
  <c r="P35" i="12"/>
  <c r="L35" i="12"/>
  <c r="H35" i="12"/>
  <c r="Y34" i="12"/>
  <c r="Y33" i="12"/>
  <c r="Y32" i="12"/>
  <c r="D28" i="12"/>
  <c r="D27" i="12"/>
  <c r="F27" i="12"/>
  <c r="J27" i="12" s="1"/>
  <c r="K27" i="12" s="1"/>
  <c r="D26" i="12"/>
  <c r="F26" i="12"/>
  <c r="G26" i="12" s="1"/>
  <c r="D25" i="12"/>
  <c r="D24" i="12"/>
  <c r="D23" i="12"/>
  <c r="D22" i="12"/>
  <c r="D21" i="12"/>
  <c r="B21" i="12"/>
  <c r="D20" i="12"/>
  <c r="D19" i="12"/>
  <c r="B19" i="12"/>
  <c r="D18" i="12"/>
  <c r="P13" i="12"/>
  <c r="R19" i="16" l="1"/>
  <c r="R21" i="16"/>
  <c r="R21" i="24"/>
  <c r="R19" i="24"/>
  <c r="AC21" i="24"/>
  <c r="W21" i="24"/>
  <c r="B97" i="24"/>
  <c r="L19" i="24"/>
  <c r="AD96" i="24"/>
  <c r="X96" i="24"/>
  <c r="F98" i="24"/>
  <c r="G100" i="12"/>
  <c r="H100" i="12"/>
  <c r="B110" i="18"/>
  <c r="E21" i="18"/>
  <c r="K21" i="18"/>
  <c r="E108" i="18"/>
  <c r="K108" i="18"/>
  <c r="B110" i="16"/>
  <c r="Q110" i="16" s="1"/>
  <c r="K21" i="16"/>
  <c r="E21" i="16"/>
  <c r="K108" i="16"/>
  <c r="E108" i="16"/>
  <c r="Q109" i="16"/>
  <c r="Q107" i="16"/>
  <c r="Q108" i="16"/>
  <c r="Q111" i="16"/>
  <c r="Q96" i="24"/>
  <c r="R96" i="24" s="1"/>
  <c r="S96" i="24" s="1"/>
  <c r="T96" i="24" s="1"/>
  <c r="Q98" i="24"/>
  <c r="Q28" i="24"/>
  <c r="Q20" i="24"/>
  <c r="Q18" i="24"/>
  <c r="Q22" i="24"/>
  <c r="Q25" i="24"/>
  <c r="Q100" i="24"/>
  <c r="R100" i="24" s="1"/>
  <c r="S100" i="24" s="1"/>
  <c r="T100" i="24" s="1"/>
  <c r="Q23" i="24"/>
  <c r="Q26" i="24"/>
  <c r="Q24" i="24"/>
  <c r="Q27" i="24"/>
  <c r="B99" i="24"/>
  <c r="Q21" i="24"/>
  <c r="K21" i="24"/>
  <c r="E21" i="24"/>
  <c r="Q97" i="24"/>
  <c r="R97" i="24" s="1"/>
  <c r="S97" i="24" s="1"/>
  <c r="T97" i="24" s="1"/>
  <c r="K97" i="24"/>
  <c r="L97" i="24" s="1"/>
  <c r="M97" i="24" s="1"/>
  <c r="N97" i="24" s="1"/>
  <c r="M67" i="15"/>
  <c r="J27" i="15"/>
  <c r="K27" i="15" s="1"/>
  <c r="J26" i="15"/>
  <c r="K26" i="15" s="1"/>
  <c r="B110" i="15"/>
  <c r="E110" i="15" s="1"/>
  <c r="E21" i="15"/>
  <c r="K22" i="14"/>
  <c r="L22" i="14" s="1"/>
  <c r="J111" i="14"/>
  <c r="K111" i="14" s="1"/>
  <c r="L111" i="14" s="1"/>
  <c r="I21" i="14"/>
  <c r="E21" i="14"/>
  <c r="M110" i="14"/>
  <c r="M107" i="14"/>
  <c r="M111" i="14"/>
  <c r="M108" i="14"/>
  <c r="M109" i="14"/>
  <c r="J26" i="14"/>
  <c r="K26" i="14" s="1"/>
  <c r="L26" i="14" s="1"/>
  <c r="M100" i="12"/>
  <c r="M96" i="12"/>
  <c r="M26" i="12"/>
  <c r="M27" i="12"/>
  <c r="M28" i="12"/>
  <c r="M98" i="12"/>
  <c r="M20" i="12"/>
  <c r="M18" i="12"/>
  <c r="M22" i="12"/>
  <c r="M23" i="12"/>
  <c r="M24" i="12"/>
  <c r="M25" i="12"/>
  <c r="I21" i="12"/>
  <c r="M21" i="12"/>
  <c r="M19" i="12"/>
  <c r="I19" i="12"/>
  <c r="B99" i="12"/>
  <c r="E21" i="12"/>
  <c r="E19" i="12"/>
  <c r="B97" i="12"/>
  <c r="E19" i="18"/>
  <c r="K19" i="18"/>
  <c r="E19" i="15"/>
  <c r="I19" i="15"/>
  <c r="E19" i="16"/>
  <c r="K19" i="16"/>
  <c r="Q26" i="16"/>
  <c r="Q18" i="16"/>
  <c r="Q24" i="16"/>
  <c r="Q23" i="16"/>
  <c r="Q25" i="16"/>
  <c r="Q22" i="16"/>
  <c r="Q21" i="16"/>
  <c r="Q27" i="16"/>
  <c r="Q19" i="16"/>
  <c r="Q28" i="16"/>
  <c r="Q20" i="16"/>
  <c r="E19" i="24"/>
  <c r="K19" i="24"/>
  <c r="W19" i="24"/>
  <c r="AC19" i="24"/>
  <c r="Q19" i="24"/>
  <c r="H54" i="24"/>
  <c r="L23" i="14"/>
  <c r="E19" i="14"/>
  <c r="U19" i="14"/>
  <c r="Q19" i="14"/>
  <c r="I19" i="14"/>
  <c r="N24" i="14"/>
  <c r="O24" i="14" s="1"/>
  <c r="P24" i="14" s="1"/>
  <c r="M26" i="14"/>
  <c r="M18" i="14"/>
  <c r="M25" i="14"/>
  <c r="M23" i="14"/>
  <c r="M28" i="14"/>
  <c r="M22" i="14"/>
  <c r="M20" i="14"/>
  <c r="M21" i="14"/>
  <c r="M27" i="14"/>
  <c r="M19" i="14"/>
  <c r="M24" i="14"/>
  <c r="P48" i="14"/>
  <c r="Y48" i="14" s="1"/>
  <c r="P51" i="14"/>
  <c r="Y51" i="14" s="1"/>
  <c r="AB51" i="14" s="1"/>
  <c r="AB52" i="14" s="1"/>
  <c r="P50" i="14"/>
  <c r="Y50" i="14" s="1"/>
  <c r="M35" i="15"/>
  <c r="P48" i="12"/>
  <c r="P52" i="12"/>
  <c r="P51" i="12"/>
  <c r="H54" i="12"/>
  <c r="J26" i="12"/>
  <c r="K26" i="12" s="1"/>
  <c r="O40" i="18"/>
  <c r="T52" i="16"/>
  <c r="T48" i="16"/>
  <c r="M67" i="16"/>
  <c r="S67" i="16" s="1"/>
  <c r="Y67" i="16" s="1"/>
  <c r="AE67" i="16" s="1"/>
  <c r="T51" i="24"/>
  <c r="AG35" i="24"/>
  <c r="T48" i="24"/>
  <c r="F19" i="14"/>
  <c r="Y35" i="12"/>
  <c r="Y75" i="12"/>
  <c r="K59" i="12"/>
  <c r="O59" i="12" s="1"/>
  <c r="S59" i="12" s="1"/>
  <c r="W59" i="12" s="1"/>
  <c r="Y63" i="12"/>
  <c r="O44" i="18"/>
  <c r="O49" i="18"/>
  <c r="R28" i="16"/>
  <c r="S28" i="16" s="1"/>
  <c r="T28" i="16" s="1"/>
  <c r="R22" i="16"/>
  <c r="S22" i="16" s="1"/>
  <c r="T22" i="16" s="1"/>
  <c r="R24" i="16"/>
  <c r="S24" i="16" s="1"/>
  <c r="T24" i="16" s="1"/>
  <c r="T50" i="16"/>
  <c r="R25" i="16"/>
  <c r="S25" i="16" s="1"/>
  <c r="T25" i="16" s="1"/>
  <c r="R23" i="16"/>
  <c r="S23" i="16" s="1"/>
  <c r="T23" i="16" s="1"/>
  <c r="R26" i="16"/>
  <c r="S26" i="16" s="1"/>
  <c r="T26" i="16" s="1"/>
  <c r="R27" i="16"/>
  <c r="S27" i="16" s="1"/>
  <c r="T27" i="16" s="1"/>
  <c r="M67" i="24"/>
  <c r="S67" i="24" s="1"/>
  <c r="Y67" i="24" s="1"/>
  <c r="AE67" i="24" s="1"/>
  <c r="R26" i="24"/>
  <c r="L26" i="24"/>
  <c r="F26" i="24"/>
  <c r="G26" i="24" s="1"/>
  <c r="H26" i="24" s="1"/>
  <c r="R24" i="24"/>
  <c r="S24" i="24" s="1"/>
  <c r="T24" i="24" s="1"/>
  <c r="T50" i="24"/>
  <c r="R22" i="24"/>
  <c r="R25" i="24"/>
  <c r="S25" i="24" s="1"/>
  <c r="R23" i="24"/>
  <c r="AG59" i="24"/>
  <c r="AG67" i="24"/>
  <c r="L20" i="24"/>
  <c r="L98" i="24" s="1"/>
  <c r="M98" i="24" s="1"/>
  <c r="N98" i="24" s="1"/>
  <c r="F20" i="24"/>
  <c r="F18" i="24"/>
  <c r="F96" i="24" s="1"/>
  <c r="R27" i="24"/>
  <c r="F27" i="24"/>
  <c r="G27" i="24" s="1"/>
  <c r="H27" i="24" s="1"/>
  <c r="L27" i="24"/>
  <c r="M59" i="24"/>
  <c r="S59" i="24" s="1"/>
  <c r="Y59" i="24" s="1"/>
  <c r="AE59" i="24" s="1"/>
  <c r="AG63" i="24"/>
  <c r="AG75" i="24"/>
  <c r="G27" i="12"/>
  <c r="H27" i="12" s="1"/>
  <c r="K63" i="12"/>
  <c r="O63" i="12" s="1"/>
  <c r="S63" i="12" s="1"/>
  <c r="W63" i="12" s="1"/>
  <c r="Y67" i="12"/>
  <c r="H26" i="12"/>
  <c r="L27" i="12"/>
  <c r="F18" i="12"/>
  <c r="F96" i="12" s="1"/>
  <c r="F20" i="12"/>
  <c r="F98" i="12" s="1"/>
  <c r="F21" i="12"/>
  <c r="G21" i="12" s="1"/>
  <c r="Y59" i="12"/>
  <c r="F19" i="12"/>
  <c r="R28" i="24"/>
  <c r="F18" i="18"/>
  <c r="F107" i="18" s="1"/>
  <c r="G107" i="18" s="1"/>
  <c r="H107" i="18" s="1"/>
  <c r="O107" i="18" s="1"/>
  <c r="L20" i="18"/>
  <c r="L109" i="18" s="1"/>
  <c r="M109" i="18" s="1"/>
  <c r="N109" i="18" s="1"/>
  <c r="F20" i="18"/>
  <c r="F109" i="18" s="1"/>
  <c r="G109" i="18" s="1"/>
  <c r="H109" i="18" s="1"/>
  <c r="F27" i="18"/>
  <c r="L27" i="18"/>
  <c r="L26" i="18"/>
  <c r="F26" i="18"/>
  <c r="M63" i="15"/>
  <c r="M85" i="15"/>
  <c r="H27" i="15"/>
  <c r="H26" i="15"/>
  <c r="F18" i="15"/>
  <c r="F107" i="15" s="1"/>
  <c r="F20" i="15"/>
  <c r="F109" i="15" s="1"/>
  <c r="G109" i="15" s="1"/>
  <c r="H109" i="15" s="1"/>
  <c r="M109" i="15" s="1"/>
  <c r="H26" i="14"/>
  <c r="F18" i="14"/>
  <c r="F107" i="14" s="1"/>
  <c r="G107" i="14" s="1"/>
  <c r="H107" i="14" s="1"/>
  <c r="F20" i="14"/>
  <c r="F109" i="14" s="1"/>
  <c r="G109" i="14" s="1"/>
  <c r="H109" i="14" s="1"/>
  <c r="G27" i="14"/>
  <c r="H27" i="14" s="1"/>
  <c r="R18" i="16"/>
  <c r="S18" i="16" s="1"/>
  <c r="T18" i="16" s="1"/>
  <c r="R20" i="16"/>
  <c r="S20" i="16" s="1"/>
  <c r="T20" i="16" s="1"/>
  <c r="F18" i="16"/>
  <c r="L18" i="16"/>
  <c r="L20" i="16"/>
  <c r="F20" i="16"/>
  <c r="L26" i="16"/>
  <c r="M26" i="16" s="1"/>
  <c r="N26" i="16" s="1"/>
  <c r="F26" i="16"/>
  <c r="G26" i="16" s="1"/>
  <c r="H26" i="16" s="1"/>
  <c r="F27" i="16"/>
  <c r="G27" i="16" s="1"/>
  <c r="H27" i="16" s="1"/>
  <c r="L27" i="16"/>
  <c r="M27" i="16" s="1"/>
  <c r="N27" i="16" s="1"/>
  <c r="H42" i="15"/>
  <c r="H97" i="15" s="1"/>
  <c r="M40" i="15"/>
  <c r="M45" i="15"/>
  <c r="T53" i="24"/>
  <c r="R20" i="24"/>
  <c r="R18" i="24"/>
  <c r="S18" i="24" s="1"/>
  <c r="T18" i="24" s="1"/>
  <c r="P40" i="14"/>
  <c r="P53" i="14"/>
  <c r="L24" i="12"/>
  <c r="P44" i="12"/>
  <c r="F21" i="14"/>
  <c r="F19" i="24"/>
  <c r="G19" i="24" s="1"/>
  <c r="H19" i="24" s="1"/>
  <c r="F21" i="24"/>
  <c r="L21" i="24"/>
  <c r="L19" i="16"/>
  <c r="M19" i="16" s="1"/>
  <c r="N19" i="16" s="1"/>
  <c r="F19" i="16"/>
  <c r="G19" i="16" s="1"/>
  <c r="H19" i="16" s="1"/>
  <c r="S19" i="16"/>
  <c r="T19" i="16" s="1"/>
  <c r="F21" i="16"/>
  <c r="G21" i="16" s="1"/>
  <c r="H21" i="16" s="1"/>
  <c r="S21" i="16"/>
  <c r="T21" i="16" s="1"/>
  <c r="L21" i="16"/>
  <c r="M21" i="16" s="1"/>
  <c r="N21" i="16" s="1"/>
  <c r="F19" i="15"/>
  <c r="G19" i="15" s="1"/>
  <c r="L23" i="15"/>
  <c r="M23" i="15" s="1"/>
  <c r="F21" i="15"/>
  <c r="G21" i="15" s="1"/>
  <c r="O39" i="18"/>
  <c r="O45" i="18"/>
  <c r="F21" i="18"/>
  <c r="L21" i="18"/>
  <c r="M21" i="18" s="1"/>
  <c r="L19" i="18"/>
  <c r="M19" i="18" s="1"/>
  <c r="F19" i="18"/>
  <c r="AG67" i="16"/>
  <c r="T53" i="16"/>
  <c r="N54" i="24"/>
  <c r="T37" i="24"/>
  <c r="T46" i="24"/>
  <c r="T41" i="24"/>
  <c r="N42" i="24"/>
  <c r="N86" i="24" s="1"/>
  <c r="H42" i="24"/>
  <c r="H86" i="24" s="1"/>
  <c r="AG35" i="16"/>
  <c r="N42" i="16"/>
  <c r="N97" i="16" s="1"/>
  <c r="M41" i="15"/>
  <c r="M49" i="15"/>
  <c r="M46" i="15"/>
  <c r="M53" i="15"/>
  <c r="H54" i="15"/>
  <c r="L54" i="15"/>
  <c r="M39" i="15"/>
  <c r="L28" i="15"/>
  <c r="M28" i="15" s="1"/>
  <c r="P37" i="14"/>
  <c r="P47" i="14"/>
  <c r="P98" i="14" s="1"/>
  <c r="N25" i="14"/>
  <c r="O25" i="14" s="1"/>
  <c r="P25" i="14" s="1"/>
  <c r="P44" i="14"/>
  <c r="P39" i="14"/>
  <c r="P52" i="14"/>
  <c r="N22" i="14"/>
  <c r="P46" i="14"/>
  <c r="N27" i="14"/>
  <c r="P41" i="14"/>
  <c r="P38" i="14"/>
  <c r="P49" i="14"/>
  <c r="T13" i="14"/>
  <c r="T53" i="14" s="1"/>
  <c r="N23" i="14"/>
  <c r="P45" i="14"/>
  <c r="N28" i="14"/>
  <c r="P39" i="12"/>
  <c r="P50" i="12"/>
  <c r="P46" i="12"/>
  <c r="N24" i="12"/>
  <c r="O24" i="12" s="1"/>
  <c r="P24" i="12" s="1"/>
  <c r="P41" i="12"/>
  <c r="P38" i="12"/>
  <c r="P49" i="12"/>
  <c r="P45" i="12"/>
  <c r="N23" i="12"/>
  <c r="N22" i="12"/>
  <c r="P40" i="12"/>
  <c r="P53" i="12"/>
  <c r="N27" i="12"/>
  <c r="O27" i="12" s="1"/>
  <c r="P37" i="12"/>
  <c r="P47" i="12"/>
  <c r="P87" i="12" s="1"/>
  <c r="L25" i="12"/>
  <c r="N25" i="12"/>
  <c r="O25" i="12" s="1"/>
  <c r="T13" i="12"/>
  <c r="T48" i="12" s="1"/>
  <c r="N28" i="12"/>
  <c r="O28" i="12" s="1"/>
  <c r="K23" i="12"/>
  <c r="L23" i="12" s="1"/>
  <c r="L42" i="12"/>
  <c r="L86" i="12" s="1"/>
  <c r="L54" i="12"/>
  <c r="H22" i="12"/>
  <c r="H42" i="12"/>
  <c r="H86" i="12" s="1"/>
  <c r="O37" i="18"/>
  <c r="O38" i="18"/>
  <c r="N54" i="18"/>
  <c r="O59" i="18"/>
  <c r="H99" i="18"/>
  <c r="O51" i="18"/>
  <c r="T51" i="18" s="1"/>
  <c r="T52" i="18" s="1"/>
  <c r="O35" i="18"/>
  <c r="O46" i="18"/>
  <c r="G67" i="15"/>
  <c r="K67" i="15" s="1"/>
  <c r="L42" i="15"/>
  <c r="L97" i="15" s="1"/>
  <c r="M51" i="15"/>
  <c r="Q51" i="15" s="1"/>
  <c r="Q52" i="15" s="1"/>
  <c r="M37" i="15"/>
  <c r="M38" i="15"/>
  <c r="K63" i="15"/>
  <c r="M59" i="16"/>
  <c r="S59" i="16" s="1"/>
  <c r="Y59" i="16" s="1"/>
  <c r="AE59" i="16" s="1"/>
  <c r="Z13" i="16"/>
  <c r="T37" i="16"/>
  <c r="AG63" i="16"/>
  <c r="AG75" i="16"/>
  <c r="T46" i="16"/>
  <c r="T41" i="16"/>
  <c r="T38" i="16"/>
  <c r="H54" i="16"/>
  <c r="N54" i="16"/>
  <c r="T47" i="16"/>
  <c r="T98" i="16" s="1"/>
  <c r="AG59" i="16"/>
  <c r="AG85" i="16"/>
  <c r="H42" i="16"/>
  <c r="H97" i="16" s="1"/>
  <c r="H23" i="24"/>
  <c r="G24" i="24"/>
  <c r="H24" i="24" s="1"/>
  <c r="G63" i="24"/>
  <c r="M63" i="24" s="1"/>
  <c r="T40" i="24"/>
  <c r="T45" i="24"/>
  <c r="T52" i="24"/>
  <c r="Z13" i="24"/>
  <c r="Z41" i="24" s="1"/>
  <c r="G75" i="24"/>
  <c r="H88" i="24" s="1"/>
  <c r="T39" i="24"/>
  <c r="T44" i="24"/>
  <c r="T49" i="24"/>
  <c r="M23" i="24"/>
  <c r="N23" i="24" s="1"/>
  <c r="H25" i="24"/>
  <c r="T38" i="24"/>
  <c r="T47" i="24"/>
  <c r="T87" i="24" s="1"/>
  <c r="M24" i="24"/>
  <c r="N24" i="24" s="1"/>
  <c r="M25" i="24"/>
  <c r="Y85" i="14"/>
  <c r="H42" i="14"/>
  <c r="H97" i="14" s="1"/>
  <c r="Y35" i="14"/>
  <c r="K67" i="12"/>
  <c r="O67" i="12" s="1"/>
  <c r="S67" i="12" s="1"/>
  <c r="W67" i="12" s="1"/>
  <c r="G75" i="12"/>
  <c r="H88" i="12" s="1"/>
  <c r="K75" i="15"/>
  <c r="M25" i="15"/>
  <c r="M44" i="15"/>
  <c r="G59" i="15"/>
  <c r="M47" i="15"/>
  <c r="M75" i="15"/>
  <c r="M59" i="15"/>
  <c r="L42" i="14"/>
  <c r="L97" i="14" s="1"/>
  <c r="H54" i="14"/>
  <c r="L54" i="14"/>
  <c r="Y67" i="14"/>
  <c r="M67" i="18"/>
  <c r="O28" i="18"/>
  <c r="O85" i="18"/>
  <c r="N42" i="18"/>
  <c r="N97" i="18" s="1"/>
  <c r="H42" i="18"/>
  <c r="O22" i="18"/>
  <c r="O23" i="18"/>
  <c r="O53" i="18"/>
  <c r="O67" i="18"/>
  <c r="H54" i="18"/>
  <c r="M63" i="18"/>
  <c r="M75" i="18"/>
  <c r="O47" i="18"/>
  <c r="O75" i="18"/>
  <c r="O41" i="18"/>
  <c r="M59" i="18"/>
  <c r="O63" i="18"/>
  <c r="O24" i="18"/>
  <c r="N98" i="16"/>
  <c r="G63" i="16"/>
  <c r="M63" i="16" s="1"/>
  <c r="T40" i="16"/>
  <c r="T45" i="16"/>
  <c r="T51" i="16"/>
  <c r="G75" i="16"/>
  <c r="M75" i="16" s="1"/>
  <c r="T39" i="16"/>
  <c r="T44" i="16"/>
  <c r="T49" i="16"/>
  <c r="K63" i="14"/>
  <c r="O63" i="14" s="1"/>
  <c r="S63" i="14" s="1"/>
  <c r="W63" i="14" s="1"/>
  <c r="Y63" i="14"/>
  <c r="G75" i="14"/>
  <c r="G59" i="14"/>
  <c r="K59" i="14" s="1"/>
  <c r="Y75" i="14"/>
  <c r="Y59" i="14"/>
  <c r="G67" i="14"/>
  <c r="K67" i="14" s="1"/>
  <c r="O67" i="14" s="1"/>
  <c r="S67" i="14" s="1"/>
  <c r="W67" i="14" s="1"/>
  <c r="AD19" i="16" l="1"/>
  <c r="W111" i="16"/>
  <c r="X111" i="16" s="1"/>
  <c r="Y111" i="16" s="1"/>
  <c r="Z111" i="16" s="1"/>
  <c r="X19" i="16"/>
  <c r="X21" i="16"/>
  <c r="Y21" i="16" s="1"/>
  <c r="Z21" i="16" s="1"/>
  <c r="W108" i="16"/>
  <c r="W107" i="16"/>
  <c r="W110" i="16"/>
  <c r="W109" i="16"/>
  <c r="AD19" i="24"/>
  <c r="X19" i="24"/>
  <c r="X21" i="24"/>
  <c r="Y21" i="24" s="1"/>
  <c r="Z21" i="24" s="1"/>
  <c r="E97" i="24"/>
  <c r="W97" i="24"/>
  <c r="X97" i="24" s="1"/>
  <c r="Y97" i="24" s="1"/>
  <c r="Z97" i="24" s="1"/>
  <c r="AC97" i="24"/>
  <c r="AD97" i="24" s="1"/>
  <c r="G98" i="24"/>
  <c r="H98" i="24" s="1"/>
  <c r="R98" i="24"/>
  <c r="S98" i="24" s="1"/>
  <c r="T98" i="24" s="1"/>
  <c r="AC99" i="24"/>
  <c r="W99" i="24"/>
  <c r="F97" i="24"/>
  <c r="G97" i="24" s="1"/>
  <c r="H97" i="24" s="1"/>
  <c r="G98" i="12"/>
  <c r="H98" i="12"/>
  <c r="L26" i="15"/>
  <c r="M26" i="15" s="1"/>
  <c r="O109" i="18"/>
  <c r="E110" i="18"/>
  <c r="F110" i="18" s="1"/>
  <c r="G110" i="18" s="1"/>
  <c r="H110" i="18" s="1"/>
  <c r="K110" i="18"/>
  <c r="L110" i="18" s="1"/>
  <c r="M110" i="18" s="1"/>
  <c r="N110" i="18" s="1"/>
  <c r="L108" i="18"/>
  <c r="M108" i="18" s="1"/>
  <c r="N108" i="18" s="1"/>
  <c r="F108" i="18"/>
  <c r="G108" i="18" s="1"/>
  <c r="H108" i="18" s="1"/>
  <c r="R109" i="16"/>
  <c r="S109" i="16" s="1"/>
  <c r="T109" i="16" s="1"/>
  <c r="R110" i="16"/>
  <c r="S110" i="16" s="1"/>
  <c r="T110" i="16" s="1"/>
  <c r="R111" i="16"/>
  <c r="S111" i="16" s="1"/>
  <c r="T111" i="16" s="1"/>
  <c r="G20" i="16"/>
  <c r="H20" i="16" s="1"/>
  <c r="F109" i="16"/>
  <c r="G109" i="16" s="1"/>
  <c r="H109" i="16" s="1"/>
  <c r="M20" i="16"/>
  <c r="N20" i="16" s="1"/>
  <c r="L109" i="16"/>
  <c r="M109" i="16" s="1"/>
  <c r="N109" i="16" s="1"/>
  <c r="K110" i="16"/>
  <c r="L110" i="16" s="1"/>
  <c r="M110" i="16" s="1"/>
  <c r="N110" i="16" s="1"/>
  <c r="E110" i="16"/>
  <c r="F110" i="16" s="1"/>
  <c r="G110" i="16" s="1"/>
  <c r="H110" i="16" s="1"/>
  <c r="R108" i="16"/>
  <c r="S108" i="16" s="1"/>
  <c r="T108" i="16" s="1"/>
  <c r="R107" i="16"/>
  <c r="S107" i="16" s="1"/>
  <c r="T107" i="16" s="1"/>
  <c r="M18" i="16"/>
  <c r="N18" i="16" s="1"/>
  <c r="L107" i="16"/>
  <c r="M107" i="16" s="1"/>
  <c r="N107" i="16" s="1"/>
  <c r="F108" i="16"/>
  <c r="G108" i="16" s="1"/>
  <c r="H108" i="16" s="1"/>
  <c r="G18" i="16"/>
  <c r="H18" i="16" s="1"/>
  <c r="F107" i="16"/>
  <c r="G107" i="16" s="1"/>
  <c r="H107" i="16" s="1"/>
  <c r="L108" i="16"/>
  <c r="M108" i="16" s="1"/>
  <c r="N108" i="16" s="1"/>
  <c r="M18" i="24"/>
  <c r="N18" i="24" s="1"/>
  <c r="L96" i="24"/>
  <c r="M96" i="24" s="1"/>
  <c r="N96" i="24" s="1"/>
  <c r="Y96" i="24"/>
  <c r="Z96" i="24" s="1"/>
  <c r="AE97" i="24"/>
  <c r="AF97" i="24" s="1"/>
  <c r="Y100" i="24"/>
  <c r="Z100" i="24" s="1"/>
  <c r="K99" i="24"/>
  <c r="L99" i="24" s="1"/>
  <c r="M99" i="24" s="1"/>
  <c r="N99" i="24" s="1"/>
  <c r="E99" i="24"/>
  <c r="Q99" i="24"/>
  <c r="R99" i="24" s="1"/>
  <c r="S99" i="24" s="1"/>
  <c r="T99" i="24" s="1"/>
  <c r="G18" i="24"/>
  <c r="H18" i="24" s="1"/>
  <c r="G96" i="24"/>
  <c r="H96" i="24" s="1"/>
  <c r="L27" i="15"/>
  <c r="M27" i="15" s="1"/>
  <c r="F110" i="15"/>
  <c r="G110" i="15" s="1"/>
  <c r="H110" i="15" s="1"/>
  <c r="J18" i="15"/>
  <c r="G107" i="15"/>
  <c r="H107" i="15" s="1"/>
  <c r="F108" i="15"/>
  <c r="G108" i="15" s="1"/>
  <c r="H108" i="15" s="1"/>
  <c r="G19" i="14"/>
  <c r="H19" i="14" s="1"/>
  <c r="F108" i="14"/>
  <c r="G108" i="14" s="1"/>
  <c r="H108" i="14" s="1"/>
  <c r="J21" i="14"/>
  <c r="J110" i="14" s="1"/>
  <c r="K110" i="14" s="1"/>
  <c r="L110" i="14" s="1"/>
  <c r="F110" i="14"/>
  <c r="G110" i="14" s="1"/>
  <c r="H110" i="14" s="1"/>
  <c r="N111" i="14"/>
  <c r="O111" i="14" s="1"/>
  <c r="P111" i="14" s="1"/>
  <c r="N26" i="14"/>
  <c r="O26" i="14" s="1"/>
  <c r="P26" i="14" s="1"/>
  <c r="J19" i="14"/>
  <c r="Q21" i="12"/>
  <c r="Q23" i="12"/>
  <c r="Q18" i="12"/>
  <c r="Q25" i="12"/>
  <c r="Q20" i="12"/>
  <c r="Q96" i="12"/>
  <c r="Q98" i="12"/>
  <c r="Q19" i="12"/>
  <c r="Q22" i="12"/>
  <c r="Q26" i="12"/>
  <c r="Q27" i="12"/>
  <c r="Q100" i="12"/>
  <c r="Q24" i="12"/>
  <c r="Q28" i="12"/>
  <c r="M99" i="12"/>
  <c r="Q99" i="12"/>
  <c r="I99" i="12"/>
  <c r="I97" i="12"/>
  <c r="M97" i="12"/>
  <c r="Q97" i="12"/>
  <c r="N26" i="12"/>
  <c r="O26" i="12" s="1"/>
  <c r="O22" i="12"/>
  <c r="P22" i="12" s="1"/>
  <c r="N100" i="12"/>
  <c r="O100" i="12" s="1"/>
  <c r="P100" i="12" s="1"/>
  <c r="L26" i="12"/>
  <c r="E99" i="12"/>
  <c r="F99" i="12" s="1"/>
  <c r="G99" i="12" s="1"/>
  <c r="J18" i="12"/>
  <c r="G96" i="12"/>
  <c r="E97" i="12"/>
  <c r="F97" i="12" s="1"/>
  <c r="G97" i="12" s="1"/>
  <c r="J19" i="15"/>
  <c r="W18" i="16"/>
  <c r="W25" i="16"/>
  <c r="W26" i="16"/>
  <c r="W22" i="16"/>
  <c r="W20" i="16"/>
  <c r="W28" i="16"/>
  <c r="W19" i="16"/>
  <c r="W23" i="16"/>
  <c r="W27" i="16"/>
  <c r="W24" i="16"/>
  <c r="W21" i="16"/>
  <c r="G18" i="14"/>
  <c r="H18" i="14" s="1"/>
  <c r="J18" i="14"/>
  <c r="J107" i="14" s="1"/>
  <c r="T51" i="12"/>
  <c r="T52" i="12"/>
  <c r="Z52" i="16"/>
  <c r="X28" i="16"/>
  <c r="Y28" i="16" s="1"/>
  <c r="Z28" i="16" s="1"/>
  <c r="Z48" i="16"/>
  <c r="Z51" i="24"/>
  <c r="Z48" i="24"/>
  <c r="J21" i="12"/>
  <c r="N21" i="12" s="1"/>
  <c r="J19" i="12"/>
  <c r="J97" i="12" s="1"/>
  <c r="H21" i="12"/>
  <c r="X27" i="16"/>
  <c r="Y27" i="16" s="1"/>
  <c r="Z27" i="16" s="1"/>
  <c r="X24" i="16"/>
  <c r="Y24" i="16" s="1"/>
  <c r="Z24" i="16" s="1"/>
  <c r="X26" i="16"/>
  <c r="Y26" i="16" s="1"/>
  <c r="Z26" i="16" s="1"/>
  <c r="X25" i="16"/>
  <c r="Y25" i="16" s="1"/>
  <c r="Z25" i="16" s="1"/>
  <c r="Z51" i="16"/>
  <c r="X22" i="16"/>
  <c r="Y22" i="16" s="1"/>
  <c r="Z22" i="16" s="1"/>
  <c r="Z49" i="16"/>
  <c r="Z50" i="16"/>
  <c r="Z39" i="16"/>
  <c r="Y19" i="16"/>
  <c r="Z19" i="16" s="1"/>
  <c r="X23" i="16"/>
  <c r="Y23" i="16" s="1"/>
  <c r="Z23" i="16" s="1"/>
  <c r="X23" i="24"/>
  <c r="M75" i="24"/>
  <c r="S75" i="24" s="1"/>
  <c r="Y75" i="24" s="1"/>
  <c r="AE75" i="24" s="1"/>
  <c r="X27" i="24"/>
  <c r="Y27" i="24" s="1"/>
  <c r="Z27" i="24" s="1"/>
  <c r="X24" i="24"/>
  <c r="Y24" i="24" s="1"/>
  <c r="Z24" i="24" s="1"/>
  <c r="Z50" i="24"/>
  <c r="X25" i="24"/>
  <c r="Y25" i="24" s="1"/>
  <c r="Z25" i="24" s="1"/>
  <c r="X22" i="24"/>
  <c r="Y22" i="24" s="1"/>
  <c r="Z22" i="24" s="1"/>
  <c r="X26" i="24"/>
  <c r="Y26" i="24" s="1"/>
  <c r="Z26" i="24" s="1"/>
  <c r="Z38" i="24"/>
  <c r="X18" i="24"/>
  <c r="P42" i="12"/>
  <c r="P86" i="12" s="1"/>
  <c r="G19" i="12"/>
  <c r="H19" i="12" s="1"/>
  <c r="G18" i="12"/>
  <c r="H18" i="12" s="1"/>
  <c r="J20" i="12"/>
  <c r="J98" i="12" s="1"/>
  <c r="G20" i="12"/>
  <c r="H20" i="12" s="1"/>
  <c r="X28" i="24"/>
  <c r="Y28" i="24" s="1"/>
  <c r="Z28" i="24" s="1"/>
  <c r="Z49" i="24"/>
  <c r="M26" i="18"/>
  <c r="N26" i="18" s="1"/>
  <c r="G19" i="18"/>
  <c r="H19" i="18" s="1"/>
  <c r="M27" i="18"/>
  <c r="N27" i="18" s="1"/>
  <c r="G27" i="18"/>
  <c r="H27" i="18" s="1"/>
  <c r="G26" i="18"/>
  <c r="H26" i="18" s="1"/>
  <c r="N99" i="18"/>
  <c r="G20" i="18"/>
  <c r="H20" i="18" s="1"/>
  <c r="G21" i="18"/>
  <c r="H21" i="18" s="1"/>
  <c r="M18" i="18"/>
  <c r="N18" i="18" s="1"/>
  <c r="M20" i="18"/>
  <c r="N20" i="18" s="1"/>
  <c r="G18" i="18"/>
  <c r="H18" i="18" s="1"/>
  <c r="H99" i="15"/>
  <c r="G20" i="15"/>
  <c r="H20" i="15" s="1"/>
  <c r="M20" i="15" s="1"/>
  <c r="G18" i="15"/>
  <c r="H18" i="15" s="1"/>
  <c r="M54" i="15"/>
  <c r="H19" i="15"/>
  <c r="J20" i="14"/>
  <c r="J109" i="14" s="1"/>
  <c r="G20" i="14"/>
  <c r="H20" i="14" s="1"/>
  <c r="F29" i="14"/>
  <c r="X20" i="16"/>
  <c r="Y20" i="16" s="1"/>
  <c r="Z20" i="16" s="1"/>
  <c r="X18" i="16"/>
  <c r="Y18" i="16" s="1"/>
  <c r="Z18" i="16" s="1"/>
  <c r="Z44" i="16"/>
  <c r="P54" i="14"/>
  <c r="Y19" i="24"/>
  <c r="Z19" i="24" s="1"/>
  <c r="Z44" i="24"/>
  <c r="Z45" i="24"/>
  <c r="Z39" i="24"/>
  <c r="Z40" i="24"/>
  <c r="Z46" i="24"/>
  <c r="X20" i="24"/>
  <c r="N21" i="14"/>
  <c r="O21" i="14" s="1"/>
  <c r="P21" i="14" s="1"/>
  <c r="P42" i="14"/>
  <c r="P97" i="14" s="1"/>
  <c r="G21" i="14"/>
  <c r="H21" i="14" s="1"/>
  <c r="H21" i="15"/>
  <c r="J21" i="15"/>
  <c r="J110" i="15" s="1"/>
  <c r="K110" i="15" s="1"/>
  <c r="L110" i="15" s="1"/>
  <c r="L29" i="18"/>
  <c r="O54" i="18"/>
  <c r="N21" i="18"/>
  <c r="F29" i="18"/>
  <c r="N19" i="18"/>
  <c r="T42" i="16"/>
  <c r="T97" i="16" s="1"/>
  <c r="Z41" i="16"/>
  <c r="Z37" i="16"/>
  <c r="Z45" i="16"/>
  <c r="Z38" i="16"/>
  <c r="Z40" i="16"/>
  <c r="Z53" i="16"/>
  <c r="AF13" i="16"/>
  <c r="AC26" i="16" s="1"/>
  <c r="Z47" i="16"/>
  <c r="Z98" i="16" s="1"/>
  <c r="Z46" i="16"/>
  <c r="T54" i="24"/>
  <c r="R26" i="14"/>
  <c r="S26" i="14" s="1"/>
  <c r="T26" i="14" s="1"/>
  <c r="R28" i="14"/>
  <c r="O28" i="14"/>
  <c r="P28" i="14" s="1"/>
  <c r="T46" i="14"/>
  <c r="T39" i="14"/>
  <c r="X13" i="14"/>
  <c r="X38" i="14" s="1"/>
  <c r="T45" i="14"/>
  <c r="X49" i="14"/>
  <c r="R22" i="14"/>
  <c r="R111" i="14" s="1"/>
  <c r="S111" i="14" s="1"/>
  <c r="T111" i="14" s="1"/>
  <c r="O22" i="14"/>
  <c r="P22" i="14" s="1"/>
  <c r="R25" i="14"/>
  <c r="T49" i="14"/>
  <c r="X39" i="14"/>
  <c r="X45" i="14"/>
  <c r="T41" i="14"/>
  <c r="R27" i="14"/>
  <c r="S27" i="14" s="1"/>
  <c r="T27" i="14" s="1"/>
  <c r="O27" i="14"/>
  <c r="P27" i="14" s="1"/>
  <c r="T47" i="14"/>
  <c r="T98" i="14" s="1"/>
  <c r="T40" i="14"/>
  <c r="T52" i="14"/>
  <c r="T44" i="14"/>
  <c r="X40" i="14"/>
  <c r="T38" i="14"/>
  <c r="R23" i="14"/>
  <c r="S23" i="14" s="1"/>
  <c r="T23" i="14" s="1"/>
  <c r="O23" i="14"/>
  <c r="P23" i="14" s="1"/>
  <c r="T37" i="14"/>
  <c r="R24" i="14"/>
  <c r="P54" i="12"/>
  <c r="X50" i="12"/>
  <c r="T39" i="12"/>
  <c r="T49" i="12"/>
  <c r="T46" i="12"/>
  <c r="R27" i="12"/>
  <c r="T53" i="12"/>
  <c r="T45" i="12"/>
  <c r="T38" i="12"/>
  <c r="X13" i="12"/>
  <c r="X47" i="12" s="1"/>
  <c r="T47" i="12"/>
  <c r="T87" i="12" s="1"/>
  <c r="T37" i="12"/>
  <c r="X40" i="12"/>
  <c r="X53" i="12"/>
  <c r="T44" i="12"/>
  <c r="R25" i="12"/>
  <c r="S25" i="12" s="1"/>
  <c r="X45" i="12"/>
  <c r="X38" i="12"/>
  <c r="R24" i="12"/>
  <c r="V24" i="12" s="1"/>
  <c r="T40" i="12"/>
  <c r="R22" i="12"/>
  <c r="T50" i="12"/>
  <c r="R28" i="12"/>
  <c r="R26" i="12"/>
  <c r="R23" i="12"/>
  <c r="V23" i="12" s="1"/>
  <c r="T41" i="12"/>
  <c r="P25" i="12"/>
  <c r="P27" i="12"/>
  <c r="O23" i="12"/>
  <c r="P23" i="12" s="1"/>
  <c r="P28" i="12"/>
  <c r="O42" i="18"/>
  <c r="H97" i="18"/>
  <c r="O25" i="18"/>
  <c r="M42" i="15"/>
  <c r="F29" i="24"/>
  <c r="S63" i="24"/>
  <c r="S22" i="24"/>
  <c r="T22" i="24" s="1"/>
  <c r="Z53" i="24"/>
  <c r="T42" i="24"/>
  <c r="AF13" i="24"/>
  <c r="AD21" i="24" s="1"/>
  <c r="Z37" i="24"/>
  <c r="S23" i="24"/>
  <c r="T23" i="24" s="1"/>
  <c r="Z52" i="24"/>
  <c r="Z47" i="24"/>
  <c r="Z87" i="24" s="1"/>
  <c r="S21" i="24"/>
  <c r="T21" i="24" s="1"/>
  <c r="M28" i="24"/>
  <c r="N28" i="24" s="1"/>
  <c r="G21" i="24"/>
  <c r="H21" i="24" s="1"/>
  <c r="T25" i="24"/>
  <c r="S28" i="24"/>
  <c r="T28" i="24" s="1"/>
  <c r="M19" i="24"/>
  <c r="S27" i="24"/>
  <c r="T27" i="24" s="1"/>
  <c r="S19" i="24"/>
  <c r="S20" i="24"/>
  <c r="T20" i="24" s="1"/>
  <c r="R29" i="24"/>
  <c r="M26" i="24"/>
  <c r="N26" i="24" s="1"/>
  <c r="L29" i="24"/>
  <c r="M21" i="24"/>
  <c r="N21" i="24" s="1"/>
  <c r="G20" i="24"/>
  <c r="N25" i="24"/>
  <c r="S26" i="24"/>
  <c r="T26" i="24" s="1"/>
  <c r="M20" i="24"/>
  <c r="N20" i="24" s="1"/>
  <c r="M27" i="24"/>
  <c r="N27" i="24" s="1"/>
  <c r="F29" i="12"/>
  <c r="K75" i="12"/>
  <c r="O75" i="12" s="1"/>
  <c r="M22" i="15"/>
  <c r="K59" i="15"/>
  <c r="L99" i="15" s="1"/>
  <c r="M24" i="15"/>
  <c r="H99" i="14"/>
  <c r="S75" i="16"/>
  <c r="N99" i="16"/>
  <c r="S63" i="16"/>
  <c r="H99" i="16"/>
  <c r="T54" i="16"/>
  <c r="R29" i="16"/>
  <c r="L29" i="16"/>
  <c r="F29" i="16"/>
  <c r="O59" i="14"/>
  <c r="K75" i="14"/>
  <c r="F29" i="15"/>
  <c r="AD21" i="16" l="1"/>
  <c r="X109" i="16"/>
  <c r="Y109" i="16" s="1"/>
  <c r="Z109" i="16" s="1"/>
  <c r="X110" i="16"/>
  <c r="Y110" i="16" s="1"/>
  <c r="Z110" i="16" s="1"/>
  <c r="X107" i="16"/>
  <c r="Y107" i="16" s="1"/>
  <c r="Z107" i="16" s="1"/>
  <c r="X108" i="16"/>
  <c r="Y108" i="16" s="1"/>
  <c r="Z108" i="16" s="1"/>
  <c r="AC22" i="16"/>
  <c r="AC18" i="16"/>
  <c r="AC107" i="16"/>
  <c r="AC109" i="16"/>
  <c r="AC108" i="16"/>
  <c r="AC111" i="16"/>
  <c r="AD111" i="16" s="1"/>
  <c r="AE111" i="16" s="1"/>
  <c r="AF111" i="16" s="1"/>
  <c r="AG111" i="16" s="1"/>
  <c r="AC110" i="16"/>
  <c r="Y20" i="24"/>
  <c r="Z20" i="24" s="1"/>
  <c r="X98" i="24"/>
  <c r="Y98" i="24" s="1"/>
  <c r="Z98" i="24" s="1"/>
  <c r="X99" i="24"/>
  <c r="Y99" i="24" s="1"/>
  <c r="Z99" i="24" s="1"/>
  <c r="P26" i="12"/>
  <c r="O110" i="18"/>
  <c r="O108" i="18"/>
  <c r="M29" i="16"/>
  <c r="G29" i="16"/>
  <c r="F99" i="24"/>
  <c r="G99" i="24" s="1"/>
  <c r="H99" i="24" s="1"/>
  <c r="AE100" i="24"/>
  <c r="AF100" i="24" s="1"/>
  <c r="AG100" i="24" s="1"/>
  <c r="AG97" i="24"/>
  <c r="AE96" i="24"/>
  <c r="AF96" i="24" s="1"/>
  <c r="AG96" i="24" s="1"/>
  <c r="K18" i="15"/>
  <c r="L18" i="15" s="1"/>
  <c r="J107" i="15"/>
  <c r="K107" i="15" s="1"/>
  <c r="L107" i="15" s="1"/>
  <c r="M107" i="15" s="1"/>
  <c r="K19" i="15"/>
  <c r="L19" i="15" s="1"/>
  <c r="J108" i="15"/>
  <c r="K108" i="15" s="1"/>
  <c r="L108" i="15" s="1"/>
  <c r="M108" i="15" s="1"/>
  <c r="M110" i="15"/>
  <c r="K21" i="14"/>
  <c r="L21" i="14" s="1"/>
  <c r="K19" i="14"/>
  <c r="L19" i="14" s="1"/>
  <c r="J108" i="14"/>
  <c r="K108" i="14" s="1"/>
  <c r="L108" i="14" s="1"/>
  <c r="N110" i="14"/>
  <c r="O110" i="14" s="1"/>
  <c r="P110" i="14" s="1"/>
  <c r="K109" i="14"/>
  <c r="L109" i="14" s="1"/>
  <c r="K107" i="14"/>
  <c r="L107" i="14" s="1"/>
  <c r="N19" i="14"/>
  <c r="U99" i="12"/>
  <c r="U18" i="12"/>
  <c r="X51" i="12"/>
  <c r="Y51" i="12" s="1"/>
  <c r="AB51" i="12" s="1"/>
  <c r="AB52" i="12" s="1"/>
  <c r="U24" i="12"/>
  <c r="U97" i="12"/>
  <c r="U27" i="12"/>
  <c r="U25" i="12"/>
  <c r="U22" i="12"/>
  <c r="X48" i="12"/>
  <c r="Y48" i="12" s="1"/>
  <c r="U100" i="12"/>
  <c r="U26" i="12"/>
  <c r="U20" i="12"/>
  <c r="U21" i="12"/>
  <c r="U96" i="12"/>
  <c r="X52" i="12"/>
  <c r="Y52" i="12" s="1"/>
  <c r="X37" i="12"/>
  <c r="U28" i="12"/>
  <c r="U19" i="12"/>
  <c r="X46" i="12"/>
  <c r="Y46" i="12" s="1"/>
  <c r="X39" i="12"/>
  <c r="Y39" i="12" s="1"/>
  <c r="U23" i="12"/>
  <c r="U98" i="12"/>
  <c r="K98" i="12"/>
  <c r="L98" i="12" s="1"/>
  <c r="N18" i="12"/>
  <c r="R18" i="12" s="1"/>
  <c r="R96" i="12" s="1"/>
  <c r="S96" i="12" s="1"/>
  <c r="T96" i="12" s="1"/>
  <c r="J96" i="12"/>
  <c r="K96" i="12" s="1"/>
  <c r="L96" i="12" s="1"/>
  <c r="O21" i="12"/>
  <c r="P21" i="12" s="1"/>
  <c r="N99" i="12"/>
  <c r="V22" i="12"/>
  <c r="V100" i="12" s="1"/>
  <c r="W100" i="12" s="1"/>
  <c r="X100" i="12" s="1"/>
  <c r="R100" i="12"/>
  <c r="S100" i="12" s="1"/>
  <c r="T100" i="12" s="1"/>
  <c r="K21" i="12"/>
  <c r="L21" i="12" s="1"/>
  <c r="J99" i="12"/>
  <c r="K99" i="12" s="1"/>
  <c r="L99" i="12" s="1"/>
  <c r="H99" i="12"/>
  <c r="H97" i="12"/>
  <c r="K97" i="12"/>
  <c r="L97" i="12" s="1"/>
  <c r="H96" i="12"/>
  <c r="AC25" i="16"/>
  <c r="AC24" i="16"/>
  <c r="AF48" i="16"/>
  <c r="AG48" i="16" s="1"/>
  <c r="AC27" i="16"/>
  <c r="AC19" i="16"/>
  <c r="AC21" i="16"/>
  <c r="AC20" i="16"/>
  <c r="AC23" i="16"/>
  <c r="AC28" i="16"/>
  <c r="K18" i="14"/>
  <c r="L18" i="14" s="1"/>
  <c r="N18" i="14"/>
  <c r="N107" i="14" s="1"/>
  <c r="O107" i="14" s="1"/>
  <c r="P107" i="14" s="1"/>
  <c r="R21" i="14"/>
  <c r="J29" i="14"/>
  <c r="N20" i="14"/>
  <c r="N109" i="14" s="1"/>
  <c r="O109" i="14" s="1"/>
  <c r="P109" i="14" s="1"/>
  <c r="L99" i="14"/>
  <c r="AF49" i="16"/>
  <c r="AG49" i="16" s="1"/>
  <c r="AF52" i="16"/>
  <c r="AG52" i="16" s="1"/>
  <c r="AF44" i="16"/>
  <c r="AG44" i="16" s="1"/>
  <c r="AF40" i="16"/>
  <c r="AG40" i="16" s="1"/>
  <c r="AF37" i="16"/>
  <c r="AG37" i="16" s="1"/>
  <c r="AF53" i="16"/>
  <c r="AG53" i="16" s="1"/>
  <c r="AF45" i="16"/>
  <c r="AG45" i="16" s="1"/>
  <c r="AD22" i="24"/>
  <c r="AE22" i="24" s="1"/>
  <c r="AF22" i="24" s="1"/>
  <c r="AG22" i="24" s="1"/>
  <c r="AF51" i="24"/>
  <c r="AG51" i="24" s="1"/>
  <c r="AJ51" i="24" s="1"/>
  <c r="AJ52" i="24" s="1"/>
  <c r="N88" i="24"/>
  <c r="AD24" i="24"/>
  <c r="AE24" i="24" s="1"/>
  <c r="AF24" i="24" s="1"/>
  <c r="AG24" i="24" s="1"/>
  <c r="AF48" i="24"/>
  <c r="AG48" i="24" s="1"/>
  <c r="N19" i="12"/>
  <c r="N97" i="12" s="1"/>
  <c r="K19" i="12"/>
  <c r="L19" i="12" s="1"/>
  <c r="K20" i="12"/>
  <c r="L20" i="12" s="1"/>
  <c r="N20" i="12"/>
  <c r="N98" i="12" s="1"/>
  <c r="O98" i="12" s="1"/>
  <c r="P98" i="12" s="1"/>
  <c r="Y40" i="12"/>
  <c r="L88" i="12"/>
  <c r="G29" i="15"/>
  <c r="H29" i="14"/>
  <c r="H29" i="12"/>
  <c r="O26" i="18"/>
  <c r="O27" i="18"/>
  <c r="Z42" i="16"/>
  <c r="Z97" i="16" s="1"/>
  <c r="AF38" i="16"/>
  <c r="AG38" i="16" s="1"/>
  <c r="AD24" i="16"/>
  <c r="AE24" i="16" s="1"/>
  <c r="AF24" i="16" s="1"/>
  <c r="AG24" i="16" s="1"/>
  <c r="AD27" i="16"/>
  <c r="AE27" i="16" s="1"/>
  <c r="AF27" i="16" s="1"/>
  <c r="AG27" i="16" s="1"/>
  <c r="AD20" i="16"/>
  <c r="AE20" i="16" s="1"/>
  <c r="AF20" i="16" s="1"/>
  <c r="AG20" i="16" s="1"/>
  <c r="AF39" i="16"/>
  <c r="AG39" i="16" s="1"/>
  <c r="AD22" i="16"/>
  <c r="AE22" i="16" s="1"/>
  <c r="AF22" i="16" s="1"/>
  <c r="AG22" i="16" s="1"/>
  <c r="AD23" i="16"/>
  <c r="AE23" i="16" s="1"/>
  <c r="AF23" i="16" s="1"/>
  <c r="AG23" i="16" s="1"/>
  <c r="AF46" i="16"/>
  <c r="AG46" i="16" s="1"/>
  <c r="AF50" i="16"/>
  <c r="AG50" i="16" s="1"/>
  <c r="AD28" i="16"/>
  <c r="AE28" i="16" s="1"/>
  <c r="AF28" i="16" s="1"/>
  <c r="AG28" i="16" s="1"/>
  <c r="AD26" i="16"/>
  <c r="AE26" i="16" s="1"/>
  <c r="AF26" i="16" s="1"/>
  <c r="AD25" i="16"/>
  <c r="AE25" i="16" s="1"/>
  <c r="AF25" i="16" s="1"/>
  <c r="AG25" i="16" s="1"/>
  <c r="AF38" i="24"/>
  <c r="AG38" i="24" s="1"/>
  <c r="AD23" i="24"/>
  <c r="AD25" i="24"/>
  <c r="AE25" i="24" s="1"/>
  <c r="AD27" i="24"/>
  <c r="AE27" i="24" s="1"/>
  <c r="AF27" i="24" s="1"/>
  <c r="AG27" i="24" s="1"/>
  <c r="AF46" i="24"/>
  <c r="AG46" i="24" s="1"/>
  <c r="AF50" i="24"/>
  <c r="AG50" i="24" s="1"/>
  <c r="AD26" i="24"/>
  <c r="K18" i="12"/>
  <c r="L18" i="12" s="1"/>
  <c r="J29" i="12"/>
  <c r="Y38" i="12"/>
  <c r="AD28" i="24"/>
  <c r="O19" i="18"/>
  <c r="O21" i="18"/>
  <c r="G29" i="14"/>
  <c r="K20" i="14"/>
  <c r="AF41" i="16"/>
  <c r="AG41" i="16" s="1"/>
  <c r="AE19" i="16"/>
  <c r="AF19" i="16" s="1"/>
  <c r="AG19" i="16" s="1"/>
  <c r="AE21" i="16"/>
  <c r="AF21" i="16" s="1"/>
  <c r="AG21" i="16" s="1"/>
  <c r="AD18" i="16"/>
  <c r="AE18" i="16" s="1"/>
  <c r="AF18" i="16" s="1"/>
  <c r="Z54" i="16"/>
  <c r="Y49" i="14"/>
  <c r="AD20" i="24"/>
  <c r="AD98" i="24" s="1"/>
  <c r="AE98" i="24" s="1"/>
  <c r="AF98" i="24" s="1"/>
  <c r="AG98" i="24" s="1"/>
  <c r="AD18" i="24"/>
  <c r="AE21" i="24"/>
  <c r="AF21" i="24" s="1"/>
  <c r="AG21" i="24" s="1"/>
  <c r="G29" i="24"/>
  <c r="X47" i="14"/>
  <c r="Y47" i="14" s="1"/>
  <c r="Y44" i="14"/>
  <c r="X41" i="14"/>
  <c r="Y41" i="14" s="1"/>
  <c r="X37" i="14"/>
  <c r="Y40" i="14"/>
  <c r="X53" i="14"/>
  <c r="Y53" i="14" s="1"/>
  <c r="X52" i="14"/>
  <c r="Y52" i="14" s="1"/>
  <c r="R19" i="14"/>
  <c r="Y53" i="12"/>
  <c r="V28" i="12"/>
  <c r="W28" i="12" s="1"/>
  <c r="S28" i="12"/>
  <c r="T28" i="12" s="1"/>
  <c r="R21" i="12"/>
  <c r="Y50" i="12"/>
  <c r="V27" i="12"/>
  <c r="W27" i="12" s="1"/>
  <c r="S27" i="12"/>
  <c r="T27" i="12" s="1"/>
  <c r="V26" i="12"/>
  <c r="S26" i="12"/>
  <c r="T26" i="12" s="1"/>
  <c r="V21" i="12"/>
  <c r="S25" i="14"/>
  <c r="T25" i="14" s="1"/>
  <c r="V25" i="14"/>
  <c r="W25" i="14" s="1"/>
  <c r="X25" i="14" s="1"/>
  <c r="V27" i="14"/>
  <c r="W27" i="14" s="1"/>
  <c r="X27" i="14" s="1"/>
  <c r="Y27" i="14" s="1"/>
  <c r="M19" i="15"/>
  <c r="K21" i="15"/>
  <c r="J29" i="15"/>
  <c r="M30" i="15" s="1"/>
  <c r="X29" i="16"/>
  <c r="AF51" i="16"/>
  <c r="AG51" i="16" s="1"/>
  <c r="AJ51" i="16" s="1"/>
  <c r="AJ52" i="16" s="1"/>
  <c r="AF47" i="16"/>
  <c r="H20" i="24"/>
  <c r="H29" i="24" s="1"/>
  <c r="Y45" i="14"/>
  <c r="V22" i="14"/>
  <c r="S22" i="14"/>
  <c r="T22" i="14" s="1"/>
  <c r="Y39" i="14"/>
  <c r="V23" i="14"/>
  <c r="W23" i="14" s="1"/>
  <c r="X23" i="14" s="1"/>
  <c r="Y23" i="14" s="1"/>
  <c r="T54" i="14"/>
  <c r="X46" i="14"/>
  <c r="Y46" i="14" s="1"/>
  <c r="V24" i="14"/>
  <c r="W24" i="14" s="1"/>
  <c r="X24" i="14" s="1"/>
  <c r="S24" i="14"/>
  <c r="T24" i="14" s="1"/>
  <c r="V28" i="14"/>
  <c r="W28" i="14" s="1"/>
  <c r="X28" i="14" s="1"/>
  <c r="S28" i="14"/>
  <c r="T28" i="14" s="1"/>
  <c r="T42" i="14"/>
  <c r="V26" i="14"/>
  <c r="W26" i="14" s="1"/>
  <c r="X26" i="14" s="1"/>
  <c r="Y26" i="14" s="1"/>
  <c r="Y38" i="14"/>
  <c r="V21" i="14"/>
  <c r="V110" i="14" s="1"/>
  <c r="W110" i="14" s="1"/>
  <c r="X110" i="14" s="1"/>
  <c r="V25" i="12"/>
  <c r="W25" i="12" s="1"/>
  <c r="T25" i="12"/>
  <c r="X87" i="12"/>
  <c r="Y47" i="12"/>
  <c r="Y37" i="12"/>
  <c r="T42" i="12"/>
  <c r="Y44" i="12"/>
  <c r="Y45" i="12"/>
  <c r="X41" i="12"/>
  <c r="Y41" i="12" s="1"/>
  <c r="X49" i="12"/>
  <c r="Y49" i="12" s="1"/>
  <c r="T54" i="12"/>
  <c r="S23" i="12"/>
  <c r="T23" i="12" s="1"/>
  <c r="W23" i="12"/>
  <c r="X23" i="12" s="1"/>
  <c r="S24" i="12"/>
  <c r="T24" i="12" s="1"/>
  <c r="W24" i="12"/>
  <c r="X24" i="12" s="1"/>
  <c r="S22" i="12"/>
  <c r="T22" i="12" s="1"/>
  <c r="Y29" i="16"/>
  <c r="M29" i="24"/>
  <c r="AF39" i="24"/>
  <c r="AG39" i="24" s="1"/>
  <c r="AF37" i="24"/>
  <c r="AG37" i="24" s="1"/>
  <c r="AF40" i="24"/>
  <c r="AG40" i="24" s="1"/>
  <c r="AF44" i="24"/>
  <c r="AF41" i="24"/>
  <c r="AG41" i="24" s="1"/>
  <c r="AF45" i="24"/>
  <c r="AG45" i="24" s="1"/>
  <c r="AF49" i="24"/>
  <c r="AG49" i="24" s="1"/>
  <c r="S29" i="24"/>
  <c r="X29" i="24"/>
  <c r="Y18" i="24"/>
  <c r="Z18" i="24" s="1"/>
  <c r="Y63" i="24"/>
  <c r="T88" i="24"/>
  <c r="Y23" i="24"/>
  <c r="Z23" i="24" s="1"/>
  <c r="AF53" i="24"/>
  <c r="AG53" i="24" s="1"/>
  <c r="T86" i="24"/>
  <c r="Z42" i="24"/>
  <c r="Z86" i="24" s="1"/>
  <c r="Z54" i="24"/>
  <c r="N19" i="24"/>
  <c r="AF52" i="24"/>
  <c r="AG52" i="24" s="1"/>
  <c r="AF47" i="24"/>
  <c r="T19" i="24"/>
  <c r="T29" i="24" s="1"/>
  <c r="G29" i="12"/>
  <c r="S75" i="12"/>
  <c r="P88" i="12"/>
  <c r="O20" i="18"/>
  <c r="H29" i="18"/>
  <c r="M29" i="18"/>
  <c r="N29" i="18"/>
  <c r="G29" i="18"/>
  <c r="O18" i="18"/>
  <c r="Z29" i="16"/>
  <c r="N29" i="16"/>
  <c r="Y75" i="16"/>
  <c r="S29" i="16"/>
  <c r="T29" i="16"/>
  <c r="T99" i="16"/>
  <c r="Y63" i="16"/>
  <c r="O75" i="14"/>
  <c r="S59" i="14"/>
  <c r="AD109" i="16" l="1"/>
  <c r="AE109" i="16" s="1"/>
  <c r="AF109" i="16" s="1"/>
  <c r="AG109" i="16" s="1"/>
  <c r="AD110" i="16"/>
  <c r="AE110" i="16" s="1"/>
  <c r="AF110" i="16" s="1"/>
  <c r="AG110" i="16" s="1"/>
  <c r="AD108" i="16"/>
  <c r="AE108" i="16" s="1"/>
  <c r="AF108" i="16" s="1"/>
  <c r="AG108" i="16" s="1"/>
  <c r="AD107" i="16"/>
  <c r="AE107" i="16" s="1"/>
  <c r="AF107" i="16" s="1"/>
  <c r="AG107" i="16" s="1"/>
  <c r="AD99" i="24"/>
  <c r="AE99" i="24" s="1"/>
  <c r="AF99" i="24" s="1"/>
  <c r="AG99" i="24" s="1"/>
  <c r="K29" i="15"/>
  <c r="M31" i="15" s="1"/>
  <c r="S21" i="14"/>
  <c r="T21" i="14" s="1"/>
  <c r="R110" i="14"/>
  <c r="S19" i="14"/>
  <c r="T19" i="14" s="1"/>
  <c r="R108" i="14"/>
  <c r="W22" i="14"/>
  <c r="X22" i="14" s="1"/>
  <c r="Y22" i="14" s="1"/>
  <c r="V111" i="14"/>
  <c r="W111" i="14" s="1"/>
  <c r="X111" i="14" s="1"/>
  <c r="Y111" i="14" s="1"/>
  <c r="O19" i="14"/>
  <c r="P19" i="14" s="1"/>
  <c r="N108" i="14"/>
  <c r="O108" i="14" s="1"/>
  <c r="P108" i="14" s="1"/>
  <c r="K29" i="14"/>
  <c r="V18" i="12"/>
  <c r="V96" i="12" s="1"/>
  <c r="W96" i="12" s="1"/>
  <c r="X96" i="12" s="1"/>
  <c r="S18" i="12"/>
  <c r="T18" i="12" s="1"/>
  <c r="Y100" i="12"/>
  <c r="W22" i="12"/>
  <c r="X22" i="12" s="1"/>
  <c r="Y22" i="12" s="1"/>
  <c r="W21" i="12"/>
  <c r="X21" i="12" s="1"/>
  <c r="V99" i="12"/>
  <c r="W99" i="12" s="1"/>
  <c r="X99" i="12" s="1"/>
  <c r="O97" i="12"/>
  <c r="P97" i="12" s="1"/>
  <c r="S21" i="12"/>
  <c r="T21" i="12" s="1"/>
  <c r="R99" i="12"/>
  <c r="S99" i="12" s="1"/>
  <c r="T99" i="12" s="1"/>
  <c r="N96" i="12"/>
  <c r="O96" i="12" s="1"/>
  <c r="P96" i="12" s="1"/>
  <c r="O18" i="12"/>
  <c r="P18" i="12" s="1"/>
  <c r="O99" i="12"/>
  <c r="P99" i="12" s="1"/>
  <c r="N77" i="18"/>
  <c r="N78" i="18" s="1"/>
  <c r="N79" i="18"/>
  <c r="N80" i="18" s="1"/>
  <c r="H79" i="18"/>
  <c r="H77" i="18"/>
  <c r="H78" i="18" s="1"/>
  <c r="H90" i="18" s="1"/>
  <c r="T79" i="16"/>
  <c r="T80" i="16" s="1"/>
  <c r="T77" i="16"/>
  <c r="T78" i="16" s="1"/>
  <c r="Z77" i="16"/>
  <c r="Z78" i="16" s="1"/>
  <c r="Z79" i="16"/>
  <c r="Z80" i="16" s="1"/>
  <c r="N79" i="16"/>
  <c r="N80" i="16" s="1"/>
  <c r="N77" i="16"/>
  <c r="N78" i="16" s="1"/>
  <c r="T79" i="24"/>
  <c r="T77" i="24"/>
  <c r="T78" i="24" s="1"/>
  <c r="H79" i="24"/>
  <c r="H80" i="24" s="1"/>
  <c r="H77" i="24"/>
  <c r="H78" i="24" s="1"/>
  <c r="V19" i="14"/>
  <c r="O18" i="14"/>
  <c r="P18" i="14" s="1"/>
  <c r="R18" i="14"/>
  <c r="R107" i="14" s="1"/>
  <c r="N29" i="14"/>
  <c r="O20" i="14"/>
  <c r="R20" i="14"/>
  <c r="R109" i="14" s="1"/>
  <c r="S109" i="14" s="1"/>
  <c r="T109" i="14" s="1"/>
  <c r="X98" i="14"/>
  <c r="P99" i="14"/>
  <c r="H79" i="14"/>
  <c r="H80" i="14" s="1"/>
  <c r="H77" i="14"/>
  <c r="H78" i="14" s="1"/>
  <c r="H90" i="14" s="1"/>
  <c r="H86" i="14" s="1"/>
  <c r="N29" i="12"/>
  <c r="AF54" i="16"/>
  <c r="X42" i="14"/>
  <c r="X97" i="14" s="1"/>
  <c r="Y37" i="14"/>
  <c r="R19" i="12"/>
  <c r="O19" i="12"/>
  <c r="P19" i="12" s="1"/>
  <c r="L29" i="12"/>
  <c r="L77" i="12" s="1"/>
  <c r="L78" i="12" s="1"/>
  <c r="R20" i="12"/>
  <c r="R98" i="12" s="1"/>
  <c r="O20" i="12"/>
  <c r="H79" i="12"/>
  <c r="H80" i="12" s="1"/>
  <c r="H77" i="12"/>
  <c r="X28" i="12"/>
  <c r="Y28" i="12" s="1"/>
  <c r="K29" i="12"/>
  <c r="AF42" i="16"/>
  <c r="L20" i="14"/>
  <c r="L29" i="14" s="1"/>
  <c r="AE29" i="16"/>
  <c r="AG31" i="16" s="1"/>
  <c r="X54" i="14"/>
  <c r="Y25" i="14"/>
  <c r="X42" i="12"/>
  <c r="X86" i="12" s="1"/>
  <c r="L21" i="15"/>
  <c r="M21" i="15" s="1"/>
  <c r="Y54" i="14"/>
  <c r="X27" i="12"/>
  <c r="Y27" i="12" s="1"/>
  <c r="W26" i="12"/>
  <c r="X26" i="12" s="1"/>
  <c r="Y26" i="12" s="1"/>
  <c r="Y24" i="14"/>
  <c r="AF98" i="16"/>
  <c r="AG47" i="16"/>
  <c r="AG54" i="16" s="1"/>
  <c r="AD29" i="16"/>
  <c r="AG30" i="16" s="1"/>
  <c r="N29" i="24"/>
  <c r="T97" i="14"/>
  <c r="W21" i="14"/>
  <c r="X21" i="14" s="1"/>
  <c r="Y21" i="14" s="1"/>
  <c r="Y28" i="14"/>
  <c r="X25" i="12"/>
  <c r="Y25" i="12" s="1"/>
  <c r="Y54" i="12"/>
  <c r="X54" i="12"/>
  <c r="T86" i="12"/>
  <c r="Y24" i="12"/>
  <c r="Y23" i="12"/>
  <c r="Z29" i="24"/>
  <c r="AE63" i="24"/>
  <c r="AF88" i="24" s="1"/>
  <c r="Z88" i="24"/>
  <c r="AE26" i="24"/>
  <c r="AF26" i="24" s="1"/>
  <c r="AG26" i="24" s="1"/>
  <c r="AG44" i="24"/>
  <c r="AF54" i="24"/>
  <c r="AE28" i="24"/>
  <c r="AF28" i="24" s="1"/>
  <c r="AG28" i="24" s="1"/>
  <c r="AF87" i="24"/>
  <c r="AG47" i="24"/>
  <c r="AE20" i="24"/>
  <c r="AF20" i="24" s="1"/>
  <c r="AG20" i="24" s="1"/>
  <c r="AF42" i="24"/>
  <c r="AF86" i="24" s="1"/>
  <c r="Y29" i="24"/>
  <c r="AE18" i="24"/>
  <c r="AD29" i="24"/>
  <c r="AG30" i="24" s="1"/>
  <c r="AF25" i="24"/>
  <c r="AG25" i="24" s="1"/>
  <c r="AE19" i="24"/>
  <c r="AF19" i="24" s="1"/>
  <c r="AG19" i="24" s="1"/>
  <c r="AE23" i="24"/>
  <c r="AF23" i="24" s="1"/>
  <c r="AG23" i="24" s="1"/>
  <c r="W75" i="12"/>
  <c r="T88" i="12"/>
  <c r="O29" i="18"/>
  <c r="H29" i="16"/>
  <c r="AG18" i="16"/>
  <c r="AE63" i="16"/>
  <c r="Z99" i="16"/>
  <c r="AE75" i="16"/>
  <c r="S75" i="14"/>
  <c r="W59" i="14"/>
  <c r="M18" i="15"/>
  <c r="H29" i="15"/>
  <c r="W18" i="12" l="1"/>
  <c r="Y96" i="12"/>
  <c r="S108" i="14"/>
  <c r="T108" i="14" s="1"/>
  <c r="S110" i="14"/>
  <c r="T110" i="14" s="1"/>
  <c r="Y110" i="14" s="1"/>
  <c r="W19" i="14"/>
  <c r="X19" i="14" s="1"/>
  <c r="Y19" i="14" s="1"/>
  <c r="V108" i="14"/>
  <c r="W108" i="14" s="1"/>
  <c r="X108" i="14" s="1"/>
  <c r="S107" i="14"/>
  <c r="T107" i="14" s="1"/>
  <c r="Y99" i="12"/>
  <c r="Y21" i="12"/>
  <c r="S98" i="12"/>
  <c r="T98" i="12" s="1"/>
  <c r="V19" i="12"/>
  <c r="R97" i="12"/>
  <c r="S97" i="12" s="1"/>
  <c r="T97" i="12" s="1"/>
  <c r="H77" i="15"/>
  <c r="H78" i="15" s="1"/>
  <c r="H90" i="15" s="1"/>
  <c r="H79" i="15"/>
  <c r="T81" i="16"/>
  <c r="Z81" i="16"/>
  <c r="H79" i="16"/>
  <c r="H77" i="16"/>
  <c r="H78" i="16" s="1"/>
  <c r="H90" i="16" s="1"/>
  <c r="H81" i="24"/>
  <c r="N79" i="24"/>
  <c r="N80" i="24" s="1"/>
  <c r="N77" i="24"/>
  <c r="N78" i="24" s="1"/>
  <c r="Z79" i="24"/>
  <c r="Z80" i="24" s="1"/>
  <c r="Z77" i="24"/>
  <c r="Z78" i="24" s="1"/>
  <c r="R29" i="14"/>
  <c r="Y42" i="14"/>
  <c r="S18" i="14"/>
  <c r="T18" i="14" s="1"/>
  <c r="V18" i="14"/>
  <c r="V107" i="14" s="1"/>
  <c r="W107" i="14" s="1"/>
  <c r="X107" i="14" s="1"/>
  <c r="V20" i="14"/>
  <c r="V109" i="14" s="1"/>
  <c r="W109" i="14" s="1"/>
  <c r="X109" i="14" s="1"/>
  <c r="Y109" i="14" s="1"/>
  <c r="S20" i="14"/>
  <c r="P20" i="14"/>
  <c r="P29" i="14" s="1"/>
  <c r="O29" i="14"/>
  <c r="H81" i="14"/>
  <c r="T99" i="14"/>
  <c r="L77" i="14"/>
  <c r="L78" i="14" s="1"/>
  <c r="L90" i="14" s="1"/>
  <c r="L79" i="14"/>
  <c r="L80" i="14" s="1"/>
  <c r="S20" i="12"/>
  <c r="T20" i="12" s="1"/>
  <c r="V20" i="12"/>
  <c r="L79" i="12"/>
  <c r="L84" i="12" s="1"/>
  <c r="R29" i="12"/>
  <c r="S19" i="12"/>
  <c r="T19" i="12" s="1"/>
  <c r="H84" i="12"/>
  <c r="P20" i="12"/>
  <c r="O29" i="12"/>
  <c r="H78" i="12"/>
  <c r="H91" i="14"/>
  <c r="AF97" i="16"/>
  <c r="AG42" i="16"/>
  <c r="Y42" i="12"/>
  <c r="L29" i="15"/>
  <c r="M29" i="15"/>
  <c r="AG54" i="24"/>
  <c r="H84" i="24"/>
  <c r="X18" i="12"/>
  <c r="T91" i="16"/>
  <c r="AF29" i="16"/>
  <c r="AG26" i="16"/>
  <c r="AG29" i="16" s="1"/>
  <c r="AG42" i="24"/>
  <c r="AE29" i="24"/>
  <c r="AG31" i="24" s="1"/>
  <c r="AF18" i="24"/>
  <c r="T80" i="24"/>
  <c r="T84" i="24"/>
  <c r="X88" i="12"/>
  <c r="H81" i="12"/>
  <c r="H80" i="18"/>
  <c r="O80" i="18" s="1"/>
  <c r="O79" i="18"/>
  <c r="H91" i="18"/>
  <c r="O77" i="18"/>
  <c r="N81" i="18"/>
  <c r="N91" i="18"/>
  <c r="N91" i="16"/>
  <c r="N81" i="16"/>
  <c r="Z90" i="16"/>
  <c r="Z91" i="16"/>
  <c r="T90" i="16"/>
  <c r="T86" i="16" s="1"/>
  <c r="AF99" i="16"/>
  <c r="W75" i="14"/>
  <c r="Y107" i="14" l="1"/>
  <c r="Y108" i="14"/>
  <c r="W20" i="12"/>
  <c r="X20" i="12" s="1"/>
  <c r="Y20" i="12" s="1"/>
  <c r="V98" i="12"/>
  <c r="W98" i="12" s="1"/>
  <c r="X98" i="12" s="1"/>
  <c r="Y98" i="12" s="1"/>
  <c r="W19" i="12"/>
  <c r="X19" i="12" s="1"/>
  <c r="Y19" i="12" s="1"/>
  <c r="V97" i="12"/>
  <c r="W97" i="12" s="1"/>
  <c r="X97" i="12" s="1"/>
  <c r="Y97" i="12" s="1"/>
  <c r="W29" i="12"/>
  <c r="L77" i="15"/>
  <c r="L78" i="15" s="1"/>
  <c r="L79" i="15"/>
  <c r="L80" i="15" s="1"/>
  <c r="AF79" i="16"/>
  <c r="AF80" i="16" s="1"/>
  <c r="AF77" i="16"/>
  <c r="AF78" i="16" s="1"/>
  <c r="AF90" i="16" s="1"/>
  <c r="N81" i="24"/>
  <c r="Z81" i="24"/>
  <c r="W18" i="14"/>
  <c r="X18" i="14" s="1"/>
  <c r="Y18" i="14" s="1"/>
  <c r="P77" i="14"/>
  <c r="P79" i="14"/>
  <c r="P80" i="14" s="1"/>
  <c r="T20" i="14"/>
  <c r="S29" i="14"/>
  <c r="W20" i="14"/>
  <c r="V29" i="14"/>
  <c r="Y30" i="14" s="1"/>
  <c r="L81" i="14"/>
  <c r="H87" i="14"/>
  <c r="H84" i="14"/>
  <c r="V29" i="12"/>
  <c r="Y30" i="12" s="1"/>
  <c r="S29" i="12"/>
  <c r="L80" i="12"/>
  <c r="L81" i="12" s="1"/>
  <c r="Z86" i="16"/>
  <c r="Z87" i="16" s="1"/>
  <c r="Z84" i="16"/>
  <c r="T87" i="16"/>
  <c r="T84" i="16"/>
  <c r="P29" i="12"/>
  <c r="P79" i="12" s="1"/>
  <c r="T29" i="12"/>
  <c r="L91" i="14"/>
  <c r="N84" i="24"/>
  <c r="Z84" i="24"/>
  <c r="Y18" i="12"/>
  <c r="H81" i="18"/>
  <c r="O81" i="18" s="1"/>
  <c r="AF29" i="24"/>
  <c r="AG18" i="24"/>
  <c r="AG29" i="24" s="1"/>
  <c r="T81" i="24"/>
  <c r="X99" i="14"/>
  <c r="O78" i="18"/>
  <c r="T53" i="18" s="1"/>
  <c r="N90" i="18"/>
  <c r="H91" i="16"/>
  <c r="H80" i="16"/>
  <c r="N90" i="16"/>
  <c r="H91" i="15"/>
  <c r="H80" i="15"/>
  <c r="M77" i="15" l="1"/>
  <c r="L81" i="15"/>
  <c r="X29" i="12"/>
  <c r="X77" i="12" s="1"/>
  <c r="X78" i="12" s="1"/>
  <c r="Y31" i="12"/>
  <c r="AG77" i="16"/>
  <c r="AF81" i="16"/>
  <c r="AF79" i="24"/>
  <c r="AF77" i="24"/>
  <c r="AF78" i="24" s="1"/>
  <c r="P81" i="14"/>
  <c r="X20" i="14"/>
  <c r="X29" i="14" s="1"/>
  <c r="W29" i="14"/>
  <c r="Y31" i="14" s="1"/>
  <c r="T29" i="14"/>
  <c r="P78" i="14"/>
  <c r="P90" i="14" s="1"/>
  <c r="P91" i="14"/>
  <c r="H95" i="14"/>
  <c r="H88" i="14"/>
  <c r="H89" i="14" s="1"/>
  <c r="Y29" i="12"/>
  <c r="P77" i="12"/>
  <c r="P78" i="12" s="1"/>
  <c r="N86" i="18"/>
  <c r="N87" i="18" s="1"/>
  <c r="N95" i="18" s="1"/>
  <c r="N84" i="18"/>
  <c r="H86" i="18"/>
  <c r="H87" i="18" s="1"/>
  <c r="H95" i="18" s="1"/>
  <c r="H84" i="18"/>
  <c r="M79" i="15"/>
  <c r="L91" i="15"/>
  <c r="N86" i="16"/>
  <c r="N87" i="16" s="1"/>
  <c r="N88" i="16" s="1"/>
  <c r="N89" i="16" s="1"/>
  <c r="N84" i="16"/>
  <c r="AF86" i="16"/>
  <c r="AF84" i="16"/>
  <c r="T79" i="12"/>
  <c r="T77" i="12"/>
  <c r="T78" i="12" s="1"/>
  <c r="X79" i="12"/>
  <c r="L86" i="14"/>
  <c r="L87" i="14" s="1"/>
  <c r="L84" i="14"/>
  <c r="M80" i="15"/>
  <c r="L90" i="15"/>
  <c r="P80" i="12"/>
  <c r="P84" i="12"/>
  <c r="AG80" i="16"/>
  <c r="AG79" i="16"/>
  <c r="AF91" i="16"/>
  <c r="Z95" i="16"/>
  <c r="Z88" i="16"/>
  <c r="Z89" i="16" s="1"/>
  <c r="H81" i="16"/>
  <c r="T95" i="16"/>
  <c r="T88" i="16"/>
  <c r="T89" i="16" s="1"/>
  <c r="AG78" i="16"/>
  <c r="AJ53" i="16" s="1"/>
  <c r="M78" i="15"/>
  <c r="Q53" i="15" s="1"/>
  <c r="H81" i="15"/>
  <c r="Y20" i="14" l="1"/>
  <c r="Y29" i="14" s="1"/>
  <c r="AG81" i="16"/>
  <c r="N95" i="16"/>
  <c r="AF87" i="16"/>
  <c r="AF95" i="16" s="1"/>
  <c r="P86" i="14"/>
  <c r="P87" i="14" s="1"/>
  <c r="P84" i="14"/>
  <c r="T79" i="14"/>
  <c r="T77" i="14"/>
  <c r="X77" i="14"/>
  <c r="X79" i="14"/>
  <c r="X80" i="14" s="1"/>
  <c r="P81" i="12"/>
  <c r="O86" i="18"/>
  <c r="O84" i="18"/>
  <c r="H86" i="15"/>
  <c r="H87" i="15" s="1"/>
  <c r="H95" i="15" s="1"/>
  <c r="H84" i="15"/>
  <c r="L86" i="15"/>
  <c r="L87" i="15" s="1"/>
  <c r="L88" i="15" s="1"/>
  <c r="L89" i="15" s="1"/>
  <c r="L84" i="15"/>
  <c r="T84" i="12"/>
  <c r="T80" i="12"/>
  <c r="T81" i="12" s="1"/>
  <c r="Y77" i="12"/>
  <c r="H86" i="16"/>
  <c r="H87" i="16" s="1"/>
  <c r="H84" i="16"/>
  <c r="AG84" i="16" s="1"/>
  <c r="L88" i="14"/>
  <c r="L89" i="14" s="1"/>
  <c r="L95" i="14"/>
  <c r="Y78" i="12"/>
  <c r="AB53" i="12" s="1"/>
  <c r="X80" i="12"/>
  <c r="X81" i="12" s="1"/>
  <c r="X84" i="12"/>
  <c r="Y79" i="12"/>
  <c r="AG77" i="24"/>
  <c r="AG78" i="24"/>
  <c r="AJ53" i="24" s="1"/>
  <c r="AG79" i="24"/>
  <c r="AF80" i="24"/>
  <c r="AG80" i="24" s="1"/>
  <c r="AF84" i="24"/>
  <c r="H88" i="18"/>
  <c r="O87" i="18"/>
  <c r="N88" i="18"/>
  <c r="N89" i="18" s="1"/>
  <c r="M81" i="15"/>
  <c r="AF88" i="16" l="1"/>
  <c r="AF89" i="16" s="1"/>
  <c r="L95" i="15"/>
  <c r="M84" i="15"/>
  <c r="X81" i="14"/>
  <c r="X78" i="14"/>
  <c r="X90" i="14" s="1"/>
  <c r="X91" i="14"/>
  <c r="T78" i="14"/>
  <c r="T90" i="14" s="1"/>
  <c r="Y77" i="14"/>
  <c r="T91" i="14"/>
  <c r="T80" i="14"/>
  <c r="Y79" i="14"/>
  <c r="P95" i="14"/>
  <c r="P88" i="14"/>
  <c r="P89" i="14" s="1"/>
  <c r="Y81" i="12"/>
  <c r="M86" i="15"/>
  <c r="AG86" i="16"/>
  <c r="Y80" i="12"/>
  <c r="AF81" i="24"/>
  <c r="AG81" i="24" s="1"/>
  <c r="O88" i="18"/>
  <c r="H89" i="18"/>
  <c r="O89" i="18" s="1"/>
  <c r="H95" i="16"/>
  <c r="H88" i="16"/>
  <c r="AG87" i="16"/>
  <c r="H88" i="15"/>
  <c r="M87" i="15"/>
  <c r="Y78" i="14" l="1"/>
  <c r="AB53" i="14" s="1"/>
  <c r="T86" i="14"/>
  <c r="T84" i="14"/>
  <c r="X84" i="14"/>
  <c r="X86" i="14"/>
  <c r="X87" i="14" s="1"/>
  <c r="T81" i="14"/>
  <c r="Y81" i="14" s="1"/>
  <c r="Y80" i="14"/>
  <c r="AG88" i="16"/>
  <c r="H89" i="16"/>
  <c r="AG89" i="16" s="1"/>
  <c r="M88" i="15"/>
  <c r="H89" i="15"/>
  <c r="M89" i="15" s="1"/>
  <c r="X88" i="14" l="1"/>
  <c r="X89" i="14" s="1"/>
  <c r="X95" i="14"/>
  <c r="Y84" i="14"/>
  <c r="T87" i="14"/>
  <c r="Y86" i="14"/>
  <c r="T95" i="14" l="1"/>
  <c r="T88" i="14"/>
  <c r="Y87" i="14"/>
  <c r="Y88" i="14" l="1"/>
  <c r="T89" i="14"/>
  <c r="Y8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3" authorId="0" shapeId="0" xr:uid="{00000000-0006-0000-0100-000001000000}">
      <text>
        <r>
          <rPr>
            <b/>
            <sz val="11"/>
            <color indexed="81"/>
            <rFont val="Tahoma"/>
            <family val="2"/>
          </rPr>
          <t>Author:</t>
        </r>
        <r>
          <rPr>
            <sz val="11"/>
            <color indexed="81"/>
            <rFont val="Tahoma"/>
            <family val="2"/>
          </rPr>
          <t xml:space="preserve">
Use 0% if there is no raise in salary</t>
        </r>
      </text>
    </comment>
    <comment ref="B19"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25C8E876-533A-48C3-838E-6D13A7FDCAA9}">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4" authorId="0" shapeId="0" xr:uid="{FDD40381-DF18-4BB0-9145-FC9D0AC4656D}">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6" authorId="0" shapeId="0" xr:uid="{8D46592B-FB9D-4CC6-BC31-31D554FC74E4}">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717A01F1-E11C-4BB9-9E70-942F5052420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9D7D4116-DD0D-43EE-A0AB-25EA3A53D72E}">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B9E07C19-3729-4F1D-A30D-DA96937220FC}">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FAA5AB29-5B61-4843-AD40-16115BBCD379}">
      <text>
        <r>
          <rPr>
            <b/>
            <sz val="9"/>
            <color indexed="81"/>
            <rFont val="Tahoma"/>
            <family val="2"/>
          </rPr>
          <t>Author:</t>
        </r>
        <r>
          <rPr>
            <sz val="9"/>
            <color indexed="81"/>
            <rFont val="Tahoma"/>
            <family val="2"/>
          </rPr>
          <t xml:space="preserve">
Current Rates: https://www.chapman.edu/research/_files/per-diem-rate-sheet.pdf</t>
        </r>
      </text>
    </comment>
    <comment ref="Z50" authorId="0" shapeId="0" xr:uid="{7EBD82EC-1807-43DB-B67C-A203C0EF02C9}">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8C64D5EF-F525-4671-AA2F-0038108762E1}">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Z51" authorId="0" shapeId="0" xr:uid="{2B1B2BAA-8EFE-43C9-98C0-2538FD366EE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97" authorId="0" shapeId="0" xr:uid="{35D95EAD-7249-4E2A-86E2-AC01E27AD16E}">
      <text>
        <r>
          <rPr>
            <b/>
            <sz val="9"/>
            <color indexed="81"/>
            <rFont val="Tahoma"/>
            <family val="2"/>
          </rPr>
          <t>Summer salary autocalculates based on academic salary entered.</t>
        </r>
        <r>
          <rPr>
            <sz val="9"/>
            <color indexed="81"/>
            <rFont val="Tahoma"/>
            <family val="2"/>
          </rPr>
          <t xml:space="preserve">
</t>
        </r>
      </text>
    </comment>
    <comment ref="B99" authorId="0" shapeId="0" xr:uid="{FDBCC266-0B25-4F79-9D0A-41CAABB87F88}">
      <text>
        <r>
          <rPr>
            <b/>
            <sz val="9"/>
            <color indexed="81"/>
            <rFont val="Tahoma"/>
            <family val="2"/>
          </rPr>
          <t>Summer salary autocalculates based on academic salary entered.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3" authorId="0" shapeId="0" xr:uid="{ECDBAC1F-D145-45F6-8E19-936A331C9384}">
      <text>
        <r>
          <rPr>
            <b/>
            <sz val="9"/>
            <color indexed="81"/>
            <rFont val="Tahoma"/>
            <family val="2"/>
          </rPr>
          <t>Author:</t>
        </r>
        <r>
          <rPr>
            <sz val="9"/>
            <color indexed="81"/>
            <rFont val="Tahoma"/>
            <family val="2"/>
          </rPr>
          <t xml:space="preserve">
Effective 1/1/24
</t>
        </r>
      </text>
    </comment>
    <comment ref="H13" authorId="0" shapeId="0" xr:uid="{62C6AA4E-770D-4D78-8C8E-6522AB5139B0}">
      <text>
        <r>
          <rPr>
            <b/>
            <sz val="11"/>
            <color indexed="81"/>
            <rFont val="Tahoma"/>
            <family val="2"/>
          </rPr>
          <t>Author:</t>
        </r>
        <r>
          <rPr>
            <sz val="11"/>
            <color indexed="81"/>
            <rFont val="Tahoma"/>
            <family val="2"/>
          </rPr>
          <t xml:space="preserve">
Use 0% if there is no raise in salary</t>
        </r>
      </text>
    </comment>
    <comment ref="B19"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3B15A9FE-1253-44B8-B2D1-8250ACAAD2F8}">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4" authorId="0" shapeId="0" xr:uid="{1C29E6C6-4494-442C-9A68-8701186B4356}">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6" authorId="0" shapeId="0" xr:uid="{4877E0E1-E8F7-4123-8E43-E7134CCA40A4}">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AC8C4A55-C6A5-4A5D-83C5-5435F44D7143}">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50BD66A1-2885-4EAA-A644-2976AC773945}">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57208864-4CB1-41D5-94DE-3F34C6CF1260}">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F7714386-4D7C-4D32-96ED-A97DB7A52A45}">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Z50" authorId="0" shapeId="0" xr:uid="{CA1BCE04-36B2-4A4C-9864-3FB28839DA8A}">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5E0BD2DE-1DB6-4427-A1B7-4FD3AEF8E1B8}">
      <text>
        <r>
          <rPr>
            <b/>
            <sz val="9"/>
            <color indexed="81"/>
            <rFont val="Tahoma"/>
            <family val="2"/>
          </rPr>
          <t>Author:</t>
        </r>
        <r>
          <rPr>
            <sz val="9"/>
            <color indexed="81"/>
            <rFont val="Tahoma"/>
            <family val="2"/>
          </rPr>
          <t xml:space="preserve">
Current Rates: https://www.chapman.edu/research/_files/per-diem-rate-sheet.pdf</t>
        </r>
      </text>
    </comment>
    <comment ref="Z51" authorId="0" shapeId="0" xr:uid="{DE44C4C2-DD23-42ED-9DDE-C631961DB34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C8B43E58-FB71-4736-AF64-C71E6B7BF8B4}">
      <text>
        <r>
          <rPr>
            <b/>
            <sz val="9"/>
            <color indexed="81"/>
            <rFont val="Tahoma"/>
            <family val="2"/>
          </rPr>
          <t>Summer salary autocalculates based on academic salary entered.</t>
        </r>
        <r>
          <rPr>
            <sz val="9"/>
            <color indexed="81"/>
            <rFont val="Tahoma"/>
            <family val="2"/>
          </rPr>
          <t xml:space="preserve">
</t>
        </r>
      </text>
    </comment>
    <comment ref="B110" authorId="0" shapeId="0" xr:uid="{B0BB8675-6D3C-474B-AB36-F2B144EDB622}">
      <text>
        <r>
          <rPr>
            <b/>
            <sz val="9"/>
            <color indexed="81"/>
            <rFont val="Tahoma"/>
            <family val="2"/>
          </rPr>
          <t>Summer salary autocalculates based on academic salary entered.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 authorId="0" shapeId="0" xr:uid="{4C06A994-0E95-4351-B98C-9A6DB0E4C947}">
      <text>
        <r>
          <rPr>
            <b/>
            <sz val="9"/>
            <color indexed="81"/>
            <rFont val="Tahoma"/>
            <family val="2"/>
          </rPr>
          <t>Author:</t>
        </r>
        <r>
          <rPr>
            <sz val="9"/>
            <color indexed="81"/>
            <rFont val="Tahoma"/>
            <family val="2"/>
          </rPr>
          <t xml:space="preserve">
Effective 1/1/24
</t>
        </r>
      </text>
    </comment>
    <comment ref="H13" authorId="0" shapeId="0" xr:uid="{5846D760-C4F3-4D90-ADB7-9D0EC9C83BDC}">
      <text>
        <r>
          <rPr>
            <b/>
            <sz val="11"/>
            <color indexed="81"/>
            <rFont val="Tahoma"/>
            <family val="2"/>
          </rPr>
          <t>Author:</t>
        </r>
        <r>
          <rPr>
            <sz val="11"/>
            <color indexed="81"/>
            <rFont val="Tahoma"/>
            <family val="2"/>
          </rPr>
          <t xml:space="preserve">
Use 0% if there is no raise in salary</t>
        </r>
      </text>
    </comment>
    <comment ref="B19" authorId="0" shapeId="0" xr:uid="{00000000-0006-0000-04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4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2A6070CA-797F-4746-86CC-CE17ED545D2A}">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4" authorId="0" shapeId="0" xr:uid="{B88A5C93-D3C8-433D-BB5C-26B5C4CC1D0C}">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6" authorId="0" shapeId="0" xr:uid="{43CE83DB-5255-478A-AAD6-CBF9A258ECBE}">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63A1CD67-7732-4C21-8D6F-DC005400AA2E}">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6EE2D037-61AB-4FFD-806F-9C55EE112A3C}">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E8ADD665-5D43-4D29-BD4D-B9BAEC5ED046}">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C178915E-ABA0-4EB7-96C7-76A7A04BD3E1}">
      <text>
        <r>
          <rPr>
            <b/>
            <sz val="9"/>
            <color indexed="81"/>
            <rFont val="Tahoma"/>
            <family val="2"/>
          </rPr>
          <t>Author:</t>
        </r>
        <r>
          <rPr>
            <sz val="9"/>
            <color indexed="81"/>
            <rFont val="Tahoma"/>
            <family val="2"/>
          </rPr>
          <t xml:space="preserve">
Current Rates: https://www.chapman.edu/research/_files/per-diem-rate-sheet.pdf</t>
        </r>
      </text>
    </comment>
    <comment ref="AH50" authorId="0" shapeId="0" xr:uid="{E3B626C5-CE5F-4D55-849F-D4F97E9689CE}">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E7ABDC6E-0254-4921-B544-BEBE7BDF242C}">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AH51" authorId="0" shapeId="0" xr:uid="{3EBCC38E-0875-4D31-97BD-E54D253155F6}">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BF2C7F22-AE72-45F4-A066-4288B9A8DBA8}">
      <text>
        <r>
          <rPr>
            <b/>
            <sz val="9"/>
            <color indexed="81"/>
            <rFont val="Tahoma"/>
            <family val="2"/>
          </rPr>
          <t>Summer salary autocalculates based on academic salary entered.</t>
        </r>
        <r>
          <rPr>
            <sz val="9"/>
            <color indexed="81"/>
            <rFont val="Tahoma"/>
            <family val="2"/>
          </rPr>
          <t xml:space="preserve">
</t>
        </r>
      </text>
    </comment>
    <comment ref="B110" authorId="0" shapeId="0" xr:uid="{9FC0FD17-6475-4474-9120-94EF5CBA8B3F}">
      <text>
        <r>
          <rPr>
            <b/>
            <sz val="9"/>
            <color indexed="81"/>
            <rFont val="Tahoma"/>
            <family val="2"/>
          </rPr>
          <t>Summer salary autocalculates based on academic salary entered.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3" authorId="0" shapeId="0" xr:uid="{00000000-0006-0000-0300-000001000000}">
      <text>
        <r>
          <rPr>
            <b/>
            <sz val="11"/>
            <color indexed="81"/>
            <rFont val="Tahoma"/>
            <family val="2"/>
          </rPr>
          <t>Author:</t>
        </r>
        <r>
          <rPr>
            <sz val="11"/>
            <color indexed="81"/>
            <rFont val="Tahoma"/>
            <family val="2"/>
          </rPr>
          <t xml:space="preserve">
Use 0% if there is no raise in salary</t>
        </r>
      </text>
    </comment>
    <comment ref="B19" authorId="0" shapeId="0" xr:uid="{00000000-0006-0000-03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3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446E5D51-8B88-485E-8834-FF1DE9283074}">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4" authorId="0" shapeId="0" xr:uid="{67CEC8C9-B736-406F-8978-A8B69E5ED8BC}">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6" authorId="0" shapeId="0" xr:uid="{465AD0F4-3DEF-4079-90B1-010CE5D5C447}">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381777AE-3D10-4B6E-AA56-58AFCE36FDF2}">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D9925838-FCF5-43B4-896B-BEB1FD589061}">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37F26AC0-8786-41EE-A956-CD7CB2BC0C8C}">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4036F238-D53B-4A9A-A22C-31BE7221848E}">
      <text>
        <r>
          <rPr>
            <b/>
            <sz val="9"/>
            <color indexed="81"/>
            <rFont val="Tahoma"/>
            <family val="2"/>
          </rPr>
          <t>Author:</t>
        </r>
        <r>
          <rPr>
            <sz val="9"/>
            <color indexed="81"/>
            <rFont val="Tahoma"/>
            <family val="2"/>
          </rPr>
          <t xml:space="preserve">
Current Rates: https://www.chapman.edu/research/_files/per-diem-rate-sheet.pdf</t>
        </r>
      </text>
    </comment>
    <comment ref="AH50" authorId="0" shapeId="0" xr:uid="{EFE957D1-D336-4F54-92CA-24254E14D953}">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AB86DE58-45BC-4655-81F6-4FC70A0DAD75}">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AH51" authorId="0" shapeId="0" xr:uid="{0193552B-1B57-4B26-8048-66C99DF6852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97" authorId="0" shapeId="0" xr:uid="{A69C4873-9F51-4B44-8864-917CCFD8B4F4}">
      <text>
        <r>
          <rPr>
            <b/>
            <sz val="9"/>
            <color indexed="81"/>
            <rFont val="Tahoma"/>
            <family val="2"/>
          </rPr>
          <t>Summer salary autocalculates based on academic salary entered.</t>
        </r>
        <r>
          <rPr>
            <sz val="9"/>
            <color indexed="81"/>
            <rFont val="Tahoma"/>
            <family val="2"/>
          </rPr>
          <t xml:space="preserve">
</t>
        </r>
      </text>
    </comment>
    <comment ref="B99" authorId="0" shapeId="0" xr:uid="{6569A875-C0A0-4464-87BE-98E325B515F6}">
      <text>
        <r>
          <rPr>
            <b/>
            <sz val="9"/>
            <color indexed="81"/>
            <rFont val="Tahoma"/>
            <family val="2"/>
          </rPr>
          <t>Summer salary autocalculates based on academic salary entered.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3" authorId="0" shapeId="0" xr:uid="{A08DBF48-3D24-44E4-8233-9D91CAF4FFBC}">
      <text>
        <r>
          <rPr>
            <b/>
            <sz val="9"/>
            <color indexed="81"/>
            <rFont val="Tahoma"/>
            <family val="2"/>
          </rPr>
          <t>Author:</t>
        </r>
        <r>
          <rPr>
            <sz val="9"/>
            <color indexed="81"/>
            <rFont val="Tahoma"/>
            <family val="2"/>
          </rPr>
          <t xml:space="preserve">
effective 1/1/24
</t>
        </r>
      </text>
    </comment>
    <comment ref="H13" authorId="0" shapeId="0" xr:uid="{9454A089-5CDF-4EAD-B224-B820D74B38A5}">
      <text>
        <r>
          <rPr>
            <b/>
            <sz val="11"/>
            <color indexed="81"/>
            <rFont val="Tahoma"/>
            <family val="2"/>
          </rPr>
          <t>Author:</t>
        </r>
        <r>
          <rPr>
            <sz val="11"/>
            <color indexed="81"/>
            <rFont val="Tahoma"/>
            <family val="2"/>
          </rPr>
          <t xml:space="preserve">
Use 0% if there is no raise in salary</t>
        </r>
      </text>
    </comment>
    <comment ref="B19" authorId="0" shapeId="0" xr:uid="{00000000-0006-0000-05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5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CCB25AEB-C9FA-4269-86C7-541F997CD0C4}">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4" authorId="0" shapeId="0" xr:uid="{C30AFA40-6D80-4EE5-8BB0-E920E365CAA0}">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6" authorId="0" shapeId="0" xr:uid="{108AA5E3-1FB1-43D7-A6B1-89CDB72E3270}">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1E473D22-8225-4B97-8B09-3FAF24C135D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F6B4D25A-5932-4F16-8195-9DB230DA6988}">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4A2A7B18-EB46-4CC9-8D06-9308B96DA67F}">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226B311D-6F22-41C4-98D1-1835039D1D08}">
      <text>
        <r>
          <rPr>
            <b/>
            <sz val="9"/>
            <color indexed="81"/>
            <rFont val="Tahoma"/>
            <family val="2"/>
          </rPr>
          <t>Author:</t>
        </r>
        <r>
          <rPr>
            <sz val="9"/>
            <color indexed="81"/>
            <rFont val="Tahoma"/>
            <family val="2"/>
          </rPr>
          <t xml:space="preserve">
Current Rates: https://www.chapman.edu/research/_files/per-diem-rate-sheet.pdf</t>
        </r>
      </text>
    </comment>
    <comment ref="N50" authorId="0" shapeId="0" xr:uid="{D0E6EC80-C17D-4222-A3C1-3F311C5559C5}">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A7863B7C-FA36-4318-9D20-5576B74DAB57}">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N51" authorId="0" shapeId="0" xr:uid="{EF374FC8-7401-4BFD-9FD5-5E901CCEFE7F}">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E890BD43-8993-4494-9AD9-1F1962C33E83}">
      <text>
        <r>
          <rPr>
            <b/>
            <sz val="9"/>
            <color indexed="81"/>
            <rFont val="Tahoma"/>
            <family val="2"/>
          </rPr>
          <t>Summer salary autocalculates based on academic salary entered.</t>
        </r>
        <r>
          <rPr>
            <sz val="9"/>
            <color indexed="81"/>
            <rFont val="Tahoma"/>
            <family val="2"/>
          </rPr>
          <t xml:space="preserve">
</t>
        </r>
      </text>
    </comment>
    <comment ref="B110" authorId="0" shapeId="0" xr:uid="{4C0032DD-A5EA-4908-BA9C-95A3B85A70C2}">
      <text>
        <r>
          <rPr>
            <b/>
            <sz val="9"/>
            <color indexed="81"/>
            <rFont val="Tahoma"/>
            <family val="2"/>
          </rPr>
          <t>Summer salary autocalculates based on academic salary entered.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 authorId="0" shapeId="0" xr:uid="{00000000-0006-0000-0600-000001000000}">
      <text>
        <r>
          <rPr>
            <b/>
            <sz val="9"/>
            <color indexed="81"/>
            <rFont val="Tahoma"/>
            <family val="2"/>
          </rPr>
          <t>Author:</t>
        </r>
        <r>
          <rPr>
            <sz val="9"/>
            <color indexed="81"/>
            <rFont val="Tahoma"/>
            <family val="2"/>
          </rPr>
          <t xml:space="preserve">
Effective1/1/2024
</t>
        </r>
      </text>
    </comment>
    <comment ref="H13" authorId="0" shapeId="0" xr:uid="{C8EE6B67-96D4-49B6-BC4B-BEE19A0DBF9B}">
      <text>
        <r>
          <rPr>
            <b/>
            <sz val="11"/>
            <color indexed="81"/>
            <rFont val="Tahoma"/>
            <family val="2"/>
          </rPr>
          <t>Author:</t>
        </r>
        <r>
          <rPr>
            <sz val="11"/>
            <color indexed="81"/>
            <rFont val="Tahoma"/>
            <family val="2"/>
          </rPr>
          <t xml:space="preserve">
Use 0% if there is no raise in salary</t>
        </r>
      </text>
    </comment>
    <comment ref="B19" authorId="0" shapeId="0" xr:uid="{00000000-0006-0000-0600-000003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600-000004000000}">
      <text>
        <r>
          <rPr>
            <b/>
            <sz val="9"/>
            <color indexed="81"/>
            <rFont val="Tahoma"/>
            <family val="2"/>
          </rPr>
          <t>Summer salary autocalculates based on academic salary entered.</t>
        </r>
        <r>
          <rPr>
            <sz val="9"/>
            <color indexed="81"/>
            <rFont val="Tahoma"/>
            <family val="2"/>
          </rPr>
          <t xml:space="preserve">
</t>
        </r>
      </text>
    </comment>
    <comment ref="A23" authorId="0" shapeId="0" xr:uid="{84B81DD3-FABF-4724-97B3-ECA64116ACEA}">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4" authorId="0" shapeId="0" xr:uid="{4E01E3B6-DBA2-481A-B549-7EF0BDE9501A}">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6" authorId="0" shapeId="0" xr:uid="{B2EB7332-66F7-421E-9915-28E769136556}">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F5A31934-7B2A-446D-A4F4-471B4E1A6A47}">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DFD5C4F9-FB05-4E6A-8CEE-CE182F8887BE}">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C6F6F869-3489-4699-8ECD-85EF43F61502}">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30A0A759-BEAC-4481-A8E2-B9A04A7F1CB1}">
      <text>
        <r>
          <rPr>
            <b/>
            <sz val="9"/>
            <color indexed="81"/>
            <rFont val="Tahoma"/>
            <family val="2"/>
          </rPr>
          <t>Author:</t>
        </r>
        <r>
          <rPr>
            <sz val="9"/>
            <color indexed="81"/>
            <rFont val="Tahoma"/>
            <family val="2"/>
          </rPr>
          <t xml:space="preserve">
Current Rates: https://www.chapman.edu/research/_files/per-diem-rate-sheet.pdf</t>
        </r>
      </text>
    </comment>
    <comment ref="P50" authorId="0" shapeId="0" xr:uid="{1D33E88D-A5C6-4715-9550-47D7881E9530}">
      <text>
        <r>
          <rPr>
            <b/>
            <sz val="9"/>
            <color indexed="81"/>
            <rFont val="Tahoma"/>
            <family val="2"/>
          </rPr>
          <t>Author:</t>
        </r>
        <r>
          <rPr>
            <sz val="9"/>
            <color indexed="81"/>
            <rFont val="Tahoma"/>
            <family val="2"/>
          </rPr>
          <t xml:space="preserve">
Current Rates: https://www.chapman.edu/research/_files/per-diem-rate-sheet.pdf</t>
        </r>
      </text>
    </comment>
    <comment ref="A51" authorId="0" shapeId="0" xr:uid="{F5E1032F-72FD-426B-87B2-F855CC5B739B}">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P51" authorId="0" shapeId="0" xr:uid="{70D2C1AC-5AF7-4BC8-A2FF-04B78B16A54B}">
      <text>
        <r>
          <rPr>
            <b/>
            <sz val="9"/>
            <color indexed="81"/>
            <rFont val="Tahoma"/>
            <family val="2"/>
          </rPr>
          <t>Author:</t>
        </r>
        <r>
          <rPr>
            <sz val="9"/>
            <color indexed="81"/>
            <rFont val="Tahoma"/>
            <family val="2"/>
          </rPr>
          <t xml:space="preserve">
Proposals due on/after Jan. 25, 2023 on which Chapman is the prime applicant must include DMS Costs of at least 2% of the Total Direct Costs. Proposals on which Chapman is a subaward will be evaluated on a case-by-case basis to determine whether this requirement will apply. 
UPDATE: All proposals due on/after Oct. 5, 2023 should budget DMS Costs in the appropriate categories (e.g., personnel, equipment, supplies, and other expenses). Only enter costs on the "Other Data Management and Sharing Costs" line if they do not belong on any other budget line. Note that all DMS-related costs summed together must still equal at least 2% of the Total Direct Costs (less any subaward indirect costs).
NIMH provides a DMS Cost Estimator tool, but you may wish to budget 2-3x the amount shown, especially if you are applying to a different IC: https://nda.nih.gov/contribute/contribute-data.html  
</t>
        </r>
      </text>
    </comment>
    <comment ref="B108" authorId="0" shapeId="0" xr:uid="{C1569218-B1BC-4661-8D97-A1EB3A19EFB9}">
      <text>
        <r>
          <rPr>
            <b/>
            <sz val="9"/>
            <color indexed="81"/>
            <rFont val="Tahoma"/>
            <family val="2"/>
          </rPr>
          <t>Summer salary autocalculates based on academic salary entered.</t>
        </r>
        <r>
          <rPr>
            <sz val="9"/>
            <color indexed="81"/>
            <rFont val="Tahoma"/>
            <family val="2"/>
          </rPr>
          <t xml:space="preserve">
</t>
        </r>
      </text>
    </comment>
    <comment ref="B110" authorId="0" shapeId="0" xr:uid="{733A4B7F-F33D-4E9C-A5FE-764866F89211}">
      <text>
        <r>
          <rPr>
            <b/>
            <sz val="9"/>
            <color indexed="81"/>
            <rFont val="Tahoma"/>
            <family val="2"/>
          </rPr>
          <t>Summer salary autocalculates based on academic salary entered.</t>
        </r>
        <r>
          <rPr>
            <sz val="9"/>
            <color indexed="81"/>
            <rFont val="Tahoma"/>
            <family val="2"/>
          </rPr>
          <t xml:space="preserve">
</t>
        </r>
      </text>
    </comment>
  </commentList>
</comments>
</file>

<file path=xl/sharedStrings.xml><?xml version="1.0" encoding="utf-8"?>
<sst xmlns="http://schemas.openxmlformats.org/spreadsheetml/2006/main" count="2145" uniqueCount="202">
  <si>
    <t>Description</t>
  </si>
  <si>
    <t>This workbook contains several focused spreadsheets: for two-year R21s and for all other R-type award mechanisms. Each type (Rs generally and R21s) have sheets where all personnel effort is constant in each year and where effort may vary. The general R mechanisms also have sheets for modular and detailed budgets.</t>
  </si>
  <si>
    <t>Instructions</t>
  </si>
  <si>
    <t>1. If the FOA is for an R21, use one of the last two sheets; for all others, choose from the first four.</t>
  </si>
  <si>
    <t>2. Determine if personnel effort will remain constant over all years or will vary.</t>
  </si>
  <si>
    <t>3. If responding to other than an R21, determine if the budget will be detailed or modular (direct costs greater than, or equal to/less than, $250,000 per year.)</t>
  </si>
  <si>
    <t>4. Select the appropriate sheet.</t>
  </si>
  <si>
    <t>5. To enhance readability, at your option, hide any rows or columns (expense types or years) that are not needed.</t>
  </si>
  <si>
    <t>6. Enter data only into yellow highlighted fields. All others will auto-calculate.</t>
  </si>
  <si>
    <t>7. If additional personnel rows are needed, right click on the row(s) that are similar to the ones you need (i.e. the 9-month Academic and 3-month Summer lines) and select Copy. Next, right click above the existing row and select Paste.</t>
  </si>
  <si>
    <t>8. Please note that individuals included on the GShip GRA lines may not necessarily have the role of 'GRA' as outlined by the sponsor, but they need to fit the University criteria as outlined in the notes.</t>
  </si>
  <si>
    <t>INSTRUCTIONS: Enter project budget information only into fields highlighted in yellow. Spreadsheet will autocalculate. Summer salary and salary cap will autocalculate: Enter only the actual institutional base salary. If you need to add more personnel (or lines in any category), copy the appropriate unfilled row and then insert it as a row.</t>
  </si>
  <si>
    <t>NIH Salary Cap</t>
  </si>
  <si>
    <t>1-Month</t>
  </si>
  <si>
    <t>12-Month</t>
  </si>
  <si>
    <t>PI Name:</t>
  </si>
  <si>
    <t>Fringe Benefit Rates:</t>
  </si>
  <si>
    <t>Department:</t>
  </si>
  <si>
    <t>Full-Time Faculty/Staff</t>
  </si>
  <si>
    <t>Agency:</t>
  </si>
  <si>
    <t>3/4-Time Faculty/Staff</t>
  </si>
  <si>
    <t>Program:</t>
  </si>
  <si>
    <t>Students (GRA &amp; UG)</t>
  </si>
  <si>
    <t>Title:</t>
  </si>
  <si>
    <t>Part-Time/Temp/Summer</t>
  </si>
  <si>
    <t>SP Analyst / SP Admin:</t>
  </si>
  <si>
    <t>F&amp;A Rate**</t>
  </si>
  <si>
    <t>No. of budget periods:</t>
  </si>
  <si>
    <t>Today's Date:</t>
  </si>
  <si>
    <t>Project Start Date:</t>
  </si>
  <si>
    <t>End Date:</t>
  </si>
  <si>
    <t>Year 1 Raise &amp; Inflation Escalation:</t>
  </si>
  <si>
    <t>Year 2 Escalation:</t>
  </si>
  <si>
    <t>Year 3 Escalation:</t>
  </si>
  <si>
    <t>Year 4 Escalation:</t>
  </si>
  <si>
    <t>Year 5 Escalation:</t>
  </si>
  <si>
    <t>Personnel:</t>
  </si>
  <si>
    <t>Year 1</t>
  </si>
  <si>
    <t>Year 2</t>
  </si>
  <si>
    <t>Year 3</t>
  </si>
  <si>
    <t>Year 4</t>
  </si>
  <si>
    <t>Year 5</t>
  </si>
  <si>
    <t>% Effort</t>
  </si>
  <si>
    <t>Person Months</t>
  </si>
  <si>
    <t>Salary Requested</t>
  </si>
  <si>
    <t>Fringes</t>
  </si>
  <si>
    <t>Totals</t>
  </si>
  <si>
    <t>TOTALS</t>
  </si>
  <si>
    <t>Name</t>
  </si>
  <si>
    <t>(Enter names in the fields below)</t>
  </si>
  <si>
    <t>PERSONNEL</t>
  </si>
  <si>
    <t>Faculty 1 - 9mo Academic</t>
  </si>
  <si>
    <t>Faculty 1 - 3mo Summer *</t>
  </si>
  <si>
    <t>Faculty 2 - 10mo Academic</t>
  </si>
  <si>
    <t>Faculty 2 - 2mo Summer *</t>
  </si>
  <si>
    <t>Faculty 3 - 12mo appointment</t>
  </si>
  <si>
    <t>FT Staff (including postdocs)</t>
  </si>
  <si>
    <t>Part-Time/Temp Staff/Faculty</t>
  </si>
  <si>
    <t>Gship: GRA1 (Graduate Research Assistantship 1)</t>
  </si>
  <si>
    <t xml:space="preserve">GRA </t>
  </si>
  <si>
    <t>Gship: GRA2 (Graduate Research Assistantship 2)</t>
  </si>
  <si>
    <t>GRA</t>
  </si>
  <si>
    <t>Student Worker (usually UG)</t>
  </si>
  <si>
    <t>Student Assistants (UG)</t>
  </si>
  <si>
    <t xml:space="preserve">Total Personnel </t>
  </si>
  <si>
    <t>.</t>
  </si>
  <si>
    <t>Total Salaries</t>
  </si>
  <si>
    <t>Total Fringes</t>
  </si>
  <si>
    <t>EQUIPMENT (See note for definition)</t>
  </si>
  <si>
    <t>EQUIPMENT</t>
  </si>
  <si>
    <t xml:space="preserve">  Domestic Travel</t>
  </si>
  <si>
    <t>Domestic Travel</t>
  </si>
  <si>
    <t xml:space="preserve">  Foreign Travel</t>
  </si>
  <si>
    <t>Foreign Travel</t>
  </si>
  <si>
    <t>TRAVEL TOTAL</t>
  </si>
  <si>
    <t>Travel</t>
  </si>
  <si>
    <t xml:space="preserve">PARTICIPANT SUPPORT </t>
  </si>
  <si>
    <t>Base cost</t>
  </si>
  <si>
    <t># of participants: Year 1:</t>
  </si>
  <si>
    <t xml:space="preserve">  Stipend per individual</t>
  </si>
  <si>
    <t>Stipend per individual</t>
  </si>
  <si>
    <t xml:space="preserve">  Tuition/Fees/Insurance /person</t>
  </si>
  <si>
    <t>Tuition/Fees/Insurance /person</t>
  </si>
  <si>
    <t xml:space="preserve">  Travel per individual</t>
  </si>
  <si>
    <t>Travel per individual</t>
  </si>
  <si>
    <t xml:space="preserve">  Subsistence per individual</t>
  </si>
  <si>
    <t>Subsistence per individual</t>
  </si>
  <si>
    <t xml:space="preserve">  Other per individual</t>
  </si>
  <si>
    <t>Other per individual</t>
  </si>
  <si>
    <t>Participant Support Total</t>
  </si>
  <si>
    <t>Participant Support Costs</t>
  </si>
  <si>
    <t>OTHER DIRECT COSTS</t>
  </si>
  <si>
    <t>If constant, enter here, will autofill all years.</t>
  </si>
  <si>
    <t xml:space="preserve">  Materials and Supplies</t>
  </si>
  <si>
    <t xml:space="preserve">  Publication Costs</t>
  </si>
  <si>
    <t xml:space="preserve">  Consultant Services</t>
  </si>
  <si>
    <t xml:space="preserve">  Human Subject Remuneration</t>
  </si>
  <si>
    <t xml:space="preserve">  Other </t>
  </si>
  <si>
    <t>Other Direct Costs Total</t>
  </si>
  <si>
    <t>Subtotal, Other Direct Costs</t>
  </si>
  <si>
    <t>SUBAWARDS</t>
  </si>
  <si>
    <t>(Overwrite "Subaward Name" with actual name)</t>
  </si>
  <si>
    <t xml:space="preserve">  Subaward Name </t>
  </si>
  <si>
    <t>#1</t>
  </si>
  <si>
    <t>Direct costs of Subcontractor</t>
  </si>
  <si>
    <t>F&amp;A Costs of Subcontractor</t>
  </si>
  <si>
    <t xml:space="preserve">  Subaward 1 Total</t>
  </si>
  <si>
    <t>Amount towards MTDC</t>
  </si>
  <si>
    <t>Total SUB001</t>
  </si>
  <si>
    <t>#2</t>
  </si>
  <si>
    <t xml:space="preserve">  Subaward 2 Total</t>
  </si>
  <si>
    <t>Total SUB002</t>
  </si>
  <si>
    <t>#3</t>
  </si>
  <si>
    <t xml:space="preserve">  Subaward 3 Total</t>
  </si>
  <si>
    <t>Total SUB003</t>
  </si>
  <si>
    <t>#4</t>
  </si>
  <si>
    <t xml:space="preserve">  Subaward 4 Total</t>
  </si>
  <si>
    <t>Total SUB004</t>
  </si>
  <si>
    <t xml:space="preserve">FULL PROJECT </t>
  </si>
  <si>
    <t>Total Direct Costs (TDC)</t>
  </si>
  <si>
    <t>TDC</t>
  </si>
  <si>
    <t>Total Direct Costs</t>
  </si>
  <si>
    <t>Total Direct less Subs' F&amp;A</t>
  </si>
  <si>
    <t>TDC lessSubs F&amp;A</t>
  </si>
  <si>
    <t>Total Direct Costs Less Subs' F&amp;A</t>
  </si>
  <si>
    <t>F&amp;A Base (Modified Total Direct Costs)</t>
  </si>
  <si>
    <t>F&amp;A Base (MTDC)</t>
  </si>
  <si>
    <t>Facilities and Administrative Costs (F&amp;A)</t>
  </si>
  <si>
    <t>F&amp;A</t>
  </si>
  <si>
    <t>Facilities and Administrative Costs</t>
  </si>
  <si>
    <t>Grand Total</t>
  </si>
  <si>
    <t>SPS OFFICE USE ONLY (for PeopleSoft Proposal Data Entry):</t>
  </si>
  <si>
    <t>OTHER_DIRECT (MTDC):</t>
  </si>
  <si>
    <t>EQUIPMENT:</t>
  </si>
  <si>
    <t>SUPPORT_OTHER:</t>
  </si>
  <si>
    <t>FEE_EQUP_RENT:</t>
  </si>
  <si>
    <t>SB&gt;25D:</t>
  </si>
  <si>
    <t>Special Instructions for Modular Budgets: Fill out all appropriate highlighted areas on this page. Then scroll to the bottom of the page and you will see all your modular budget fields autocalculated in the light blue box and ready for transfer to the NIH modular budget form.</t>
  </si>
  <si>
    <t>PARTICIPANT SUPPORT COSTS</t>
  </si>
  <si>
    <t xml:space="preserve"> (Overwrite "Subaward Name" with actual name)</t>
  </si>
  <si>
    <t>MODULAR BUDGET CALCULATIONS (for entry into PHS 398 Modular Budget)</t>
  </si>
  <si>
    <t>FULL PROJECT</t>
  </si>
  <si>
    <t>Direct Cost less Consortium Indirect (F&amp;A)</t>
  </si>
  <si>
    <t>TDC less subs F&amp;A</t>
  </si>
  <si>
    <t>Consortium Indirect (F&amp;A)</t>
  </si>
  <si>
    <t>subs F&amp;A</t>
  </si>
  <si>
    <t xml:space="preserve">TDC </t>
  </si>
  <si>
    <t>Indirect (F&amp;A) Base</t>
  </si>
  <si>
    <t>F&amp;A Base</t>
  </si>
  <si>
    <t>Indirect (F&amp;A) Funds Requested</t>
  </si>
  <si>
    <t>F&amp;A costs</t>
  </si>
  <si>
    <t>Total Funds Requested</t>
  </si>
  <si>
    <t>Total requested</t>
  </si>
  <si>
    <t>#/modules</t>
  </si>
  <si>
    <t>exclusions</t>
  </si>
  <si>
    <t>3/4-time Faculty/Staff</t>
  </si>
  <si>
    <t>Part-time/Temp/Summer</t>
  </si>
  <si>
    <t>Base cost:</t>
  </si>
  <si>
    <t># of participants: Year 2:</t>
  </si>
  <si>
    <t># of participants: Year 3:</t>
  </si>
  <si>
    <t># of participants: Year 4:</t>
  </si>
  <si>
    <t># of participants: Year 5:</t>
  </si>
  <si>
    <t>Staff (including postdocs)</t>
  </si>
  <si>
    <t xml:space="preserve">Staff </t>
  </si>
  <si>
    <t>Student Assistants</t>
  </si>
  <si>
    <t xml:space="preserve">Temporay Staff/Part time Faculty </t>
  </si>
  <si>
    <t xml:space="preserve"> (Overwrite "Subaward #" with actual name)</t>
  </si>
  <si>
    <t>TDC less Sub F&amp;A</t>
  </si>
  <si>
    <t>Fringe Benefit Rates</t>
  </si>
  <si>
    <t>PERSONNELL</t>
  </si>
  <si>
    <t>Overwrite "Subaward #" with actual name</t>
  </si>
  <si>
    <t xml:space="preserve">  Alterations/Renovations/Rental Use (Excluded from MTDC)</t>
  </si>
  <si>
    <t xml:space="preserve">  Tuition (excluded from MTDC)</t>
  </si>
  <si>
    <t xml:space="preserve">  Vivarium/Animal Costs</t>
  </si>
  <si>
    <t>#5</t>
  </si>
  <si>
    <t xml:space="preserve">  Subaward 5 Total</t>
  </si>
  <si>
    <t>Total SUB005</t>
  </si>
  <si>
    <t xml:space="preserve">  Other Data Management and Sharing Costs</t>
  </si>
  <si>
    <t>Data Management and Sharing Cost Calculator</t>
  </si>
  <si>
    <t>Salary</t>
  </si>
  <si>
    <t>Fringe</t>
  </si>
  <si>
    <t>Equipment</t>
  </si>
  <si>
    <t>Materials &amp; Supplies</t>
  </si>
  <si>
    <t>Other DMS Costs</t>
  </si>
  <si>
    <t>Total DMS Costs</t>
  </si>
  <si>
    <t>% of Total Direct Costs (less subs' F&amp;A); must be &gt;= 2.00%</t>
  </si>
  <si>
    <t xml:space="preserve">  Alterations/Renovations/Rental Use (Excl. from MTDC)</t>
  </si>
  <si>
    <t>Consultant Services</t>
  </si>
  <si>
    <t>Current Base Salary</t>
  </si>
  <si>
    <t>Y1 Base Salary</t>
  </si>
  <si>
    <t>Y2 Base Salary</t>
  </si>
  <si>
    <t>Y3 Base Salary</t>
  </si>
  <si>
    <t>Y4 Base Salary</t>
  </si>
  <si>
    <t>Y5 Base Salary</t>
  </si>
  <si>
    <t>SALARY OVER THE CAP (COST-SHARED BY DEPT) - This section may be hidden if it does not apply to this proposal</t>
  </si>
  <si>
    <t>Dept Sal Share</t>
  </si>
  <si>
    <t>Dept Fringe Share</t>
  </si>
  <si>
    <t>Total Dept Share</t>
  </si>
  <si>
    <t>(effective 1/1/2024)</t>
  </si>
  <si>
    <t>**Current on campus research rate is 38.5% and off campus rate is 13.5%. Adjust rate (above) if necessary.</t>
  </si>
  <si>
    <t>Postdocs</t>
  </si>
  <si>
    <t>Full-Time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</si>
</sst>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62"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sz val="9"/>
      <color indexed="81"/>
      <name val="Tahoma"/>
      <family val="2"/>
    </font>
    <font>
      <b/>
      <sz val="9"/>
      <color indexed="81"/>
      <name val="Tahoma"/>
      <family val="2"/>
    </font>
    <font>
      <b/>
      <i/>
      <sz val="10"/>
      <name val="Arial"/>
      <family val="2"/>
    </font>
    <font>
      <b/>
      <i/>
      <u/>
      <sz val="1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b/>
      <sz val="10"/>
      <color rgb="FFFF0000"/>
      <name val="Arial"/>
      <family val="2"/>
    </font>
    <font>
      <sz val="10"/>
      <color theme="1"/>
      <name val="Arial"/>
      <family val="2"/>
    </font>
    <font>
      <u/>
      <sz val="9"/>
      <color indexed="81"/>
      <name val="Tahoma"/>
      <family val="2"/>
    </font>
    <font>
      <b/>
      <u/>
      <sz val="9"/>
      <color indexed="81"/>
      <name val="Tahoma"/>
      <family val="2"/>
    </font>
    <font>
      <b/>
      <u/>
      <sz val="10"/>
      <color rgb="FFFF0000"/>
      <name val="Arial"/>
      <family val="2"/>
    </font>
    <font>
      <b/>
      <sz val="10"/>
      <color rgb="FFFFFF00"/>
      <name val="Arial"/>
      <family val="2"/>
    </font>
    <font>
      <b/>
      <u/>
      <sz val="10"/>
      <name val="Arial"/>
      <family val="2"/>
    </font>
    <font>
      <b/>
      <u/>
      <sz val="10"/>
      <color theme="5" tint="-0.249977111117893"/>
      <name val="Arial"/>
      <family val="2"/>
    </font>
    <font>
      <u/>
      <sz val="10"/>
      <name val="Times New Roman"/>
      <family val="1"/>
    </font>
    <font>
      <b/>
      <sz val="10"/>
      <name val="Arial Narrow"/>
      <family val="2"/>
    </font>
    <font>
      <b/>
      <u/>
      <sz val="10"/>
      <color indexed="10"/>
      <name val="Times New Roman"/>
      <family val="1"/>
    </font>
    <font>
      <b/>
      <u/>
      <sz val="10"/>
      <color indexed="18"/>
      <name val="Times New Roman"/>
      <family val="1"/>
    </font>
    <font>
      <b/>
      <u/>
      <sz val="10"/>
      <name val="Times New Roman"/>
      <family val="1"/>
    </font>
    <font>
      <b/>
      <sz val="10"/>
      <color theme="1"/>
      <name val="Arial"/>
      <family val="2"/>
    </font>
    <font>
      <b/>
      <sz val="10"/>
      <color theme="1"/>
      <name val="Times New Roman"/>
      <family val="1"/>
    </font>
    <font>
      <sz val="8"/>
      <name val="Arial"/>
      <family val="2"/>
    </font>
    <font>
      <b/>
      <sz val="8"/>
      <color indexed="10"/>
      <name val="Arial"/>
      <family val="2"/>
    </font>
    <font>
      <i/>
      <u/>
      <sz val="10"/>
      <color theme="0"/>
      <name val="Arial"/>
      <family val="2"/>
    </font>
    <font>
      <b/>
      <sz val="10"/>
      <color theme="0"/>
      <name val="Arial"/>
      <family val="2"/>
    </font>
    <font>
      <b/>
      <i/>
      <sz val="10"/>
      <color theme="0"/>
      <name val="Arial"/>
      <family val="2"/>
    </font>
    <font>
      <i/>
      <sz val="10"/>
      <color theme="0"/>
      <name val="Arial"/>
      <family val="2"/>
    </font>
    <font>
      <b/>
      <i/>
      <sz val="10"/>
      <color rgb="FFA50034"/>
      <name val="Arial"/>
      <family val="2"/>
    </font>
    <font>
      <b/>
      <u/>
      <sz val="10"/>
      <color rgb="FFA50034"/>
      <name val="Arial"/>
      <family val="2"/>
    </font>
    <font>
      <b/>
      <sz val="10"/>
      <color rgb="FFA50034"/>
      <name val="Arial"/>
      <family val="2"/>
    </font>
    <font>
      <sz val="10"/>
      <color rgb="FFA50034"/>
      <name val="Arial"/>
      <family val="2"/>
    </font>
    <font>
      <b/>
      <i/>
      <sz val="10"/>
      <color theme="1"/>
      <name val="Arial"/>
      <family val="2"/>
    </font>
    <font>
      <b/>
      <i/>
      <u/>
      <sz val="10"/>
      <color theme="1"/>
      <name val="Arial"/>
      <family val="2"/>
    </font>
    <font>
      <i/>
      <u/>
      <sz val="10"/>
      <color theme="1"/>
      <name val="Arial"/>
      <family val="2"/>
    </font>
    <font>
      <b/>
      <sz val="10"/>
      <color theme="1"/>
      <name val="Arial Narrow"/>
      <family val="2"/>
    </font>
    <font>
      <b/>
      <i/>
      <u val="singleAccounting"/>
      <sz val="10"/>
      <color theme="1"/>
      <name val="Arial"/>
      <family val="2"/>
    </font>
    <font>
      <i/>
      <sz val="10"/>
      <color theme="1"/>
      <name val="Arial"/>
      <family val="2"/>
    </font>
    <font>
      <b/>
      <u/>
      <sz val="10"/>
      <color rgb="FFA50034"/>
      <name val="Times New Roman"/>
      <family val="1"/>
    </font>
    <font>
      <b/>
      <sz val="10"/>
      <name val="Times New Roman"/>
      <family val="1"/>
    </font>
    <font>
      <b/>
      <sz val="10"/>
      <color theme="0" tint="-0.499984740745262"/>
      <name val="Arial"/>
      <family val="2"/>
    </font>
    <font>
      <sz val="10"/>
      <color theme="0" tint="-0.499984740745262"/>
      <name val="Arial"/>
      <family val="2"/>
    </font>
    <font>
      <sz val="10"/>
      <name val="Arial"/>
      <family val="2"/>
    </font>
    <font>
      <b/>
      <sz val="8"/>
      <name val="Arial"/>
      <family val="2"/>
    </font>
    <font>
      <sz val="8"/>
      <color theme="3" tint="-0.249977111117893"/>
      <name val="Arial"/>
      <family val="2"/>
    </font>
    <font>
      <b/>
      <sz val="10"/>
      <color rgb="FFC0000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4" tint="0.39997558519241921"/>
        <bgColor indexed="64"/>
      </patternFill>
    </fill>
    <fill>
      <patternFill patternType="solid">
        <fgColor rgb="FF6E6259"/>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14996795556505021"/>
        <bgColor theme="0" tint="-0.14993743705557422"/>
      </patternFill>
    </fill>
  </fills>
  <borders count="8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mediumDashed">
        <color indexed="64"/>
      </top>
      <bottom/>
      <diagonal/>
    </border>
    <border>
      <left/>
      <right/>
      <top/>
      <bottom style="mediumDash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Dashed">
        <color indexed="64"/>
      </bottom>
      <diagonal/>
    </border>
    <border>
      <left/>
      <right style="medium">
        <color indexed="64"/>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style="thin">
        <color indexed="64"/>
      </right>
      <top style="mediumDashed">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medium">
        <color indexed="64"/>
      </left>
      <right/>
      <top/>
      <bottom style="double">
        <color indexed="64"/>
      </bottom>
      <diagonal/>
    </border>
    <border>
      <left style="thin">
        <color rgb="FFFFFF00"/>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mediumDashed">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medium">
        <color indexed="64"/>
      </left>
      <right style="medium">
        <color indexed="64"/>
      </right>
      <top style="medium">
        <color indexed="64"/>
      </top>
      <bottom style="thin">
        <color indexed="64"/>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style="thin">
        <color indexed="64"/>
      </left>
      <right/>
      <top/>
      <bottom style="medium">
        <color theme="3" tint="0.39994506668294322"/>
      </bottom>
      <diagonal/>
    </border>
    <border>
      <left/>
      <right style="thin">
        <color indexed="64"/>
      </right>
      <top/>
      <bottom style="medium">
        <color theme="3" tint="0.39994506668294322"/>
      </bottom>
      <diagonal/>
    </border>
    <border>
      <left/>
      <right style="medium">
        <color theme="3" tint="0.39994506668294322"/>
      </right>
      <top/>
      <bottom style="medium">
        <color theme="3" tint="0.39994506668294322"/>
      </bottom>
      <diagonal/>
    </border>
    <border>
      <left style="medium">
        <color theme="4" tint="0.39994506668294322"/>
      </left>
      <right/>
      <top style="medium">
        <color theme="4" tint="0.39994506668294322"/>
      </top>
      <bottom/>
      <diagonal/>
    </border>
    <border>
      <left/>
      <right/>
      <top style="medium">
        <color theme="4" tint="0.39994506668294322"/>
      </top>
      <bottom/>
      <diagonal/>
    </border>
    <border>
      <left/>
      <right style="medium">
        <color theme="4" tint="0.39994506668294322"/>
      </right>
      <top style="medium">
        <color theme="4" tint="0.39994506668294322"/>
      </top>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top/>
      <bottom style="medium">
        <color theme="4" tint="0.39994506668294322"/>
      </bottom>
      <diagonal/>
    </border>
    <border>
      <left/>
      <right/>
      <top/>
      <bottom style="medium">
        <color theme="4" tint="0.39994506668294322"/>
      </bottom>
      <diagonal/>
    </border>
    <border>
      <left style="thin">
        <color indexed="64"/>
      </left>
      <right/>
      <top/>
      <bottom style="medium">
        <color theme="4" tint="0.39994506668294322"/>
      </bottom>
      <diagonal/>
    </border>
    <border>
      <left/>
      <right style="thin">
        <color indexed="64"/>
      </right>
      <top/>
      <bottom style="medium">
        <color theme="4" tint="0.39994506668294322"/>
      </bottom>
      <diagonal/>
    </border>
    <border>
      <left/>
      <right style="medium">
        <color theme="4" tint="0.39994506668294322"/>
      </right>
      <top/>
      <bottom style="medium">
        <color theme="4" tint="0.39994506668294322"/>
      </bottom>
      <diagonal/>
    </border>
    <border>
      <left style="medium">
        <color indexed="64"/>
      </left>
      <right style="medium">
        <color indexed="64"/>
      </right>
      <top style="mediumDashed">
        <color indexed="64"/>
      </top>
      <bottom/>
      <diagonal/>
    </border>
  </borders>
  <cellStyleXfs count="10">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xf numFmtId="9" fontId="58" fillId="0" borderId="0" applyFont="0" applyFill="0" applyBorder="0" applyAlignment="0" applyProtection="0"/>
  </cellStyleXfs>
  <cellXfs count="876">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17" fillId="0" borderId="0" xfId="1" applyNumberFormat="1" applyFont="1" applyFill="1" applyBorder="1" applyProtection="1"/>
    <xf numFmtId="41" fontId="17" fillId="0" borderId="0" xfId="8" applyNumberFormat="1" applyFont="1" applyAlignment="1">
      <alignment horizontal="left"/>
    </xf>
    <xf numFmtId="41" fontId="18" fillId="0" borderId="0" xfId="0" applyNumberFormat="1" applyFont="1" applyAlignment="1">
      <alignment horizontal="left"/>
    </xf>
    <xf numFmtId="43" fontId="18" fillId="0" borderId="0" xfId="0" applyNumberFormat="1" applyFont="1"/>
    <xf numFmtId="41" fontId="18" fillId="0" borderId="0" xfId="0" applyNumberFormat="1" applyFont="1"/>
    <xf numFmtId="0" fontId="18" fillId="0" borderId="0" xfId="0" applyFont="1"/>
    <xf numFmtId="0" fontId="18" fillId="0" borderId="0" xfId="0" applyFont="1" applyAlignment="1">
      <alignment horizontal="left"/>
    </xf>
    <xf numFmtId="49" fontId="18" fillId="0" borderId="0" xfId="4" applyNumberFormat="1" applyFont="1" applyFill="1" applyBorder="1" applyProtection="1"/>
    <xf numFmtId="0" fontId="17" fillId="0" borderId="0" xfId="8" applyFont="1" applyAlignment="1">
      <alignment horizontal="left"/>
    </xf>
    <xf numFmtId="0" fontId="17" fillId="0" borderId="0" xfId="0" applyFont="1" applyAlignment="1">
      <alignment horizontal="left"/>
    </xf>
    <xf numFmtId="43" fontId="17" fillId="0" borderId="0" xfId="0" applyNumberFormat="1" applyFont="1"/>
    <xf numFmtId="41" fontId="17" fillId="0" borderId="0" xfId="0" applyNumberFormat="1" applyFont="1"/>
    <xf numFmtId="0" fontId="17" fillId="0" borderId="0" xfId="0" applyFont="1"/>
    <xf numFmtId="49" fontId="19" fillId="0" borderId="0" xfId="4" applyNumberFormat="1" applyFont="1" applyFill="1" applyBorder="1" applyProtection="1"/>
    <xf numFmtId="0" fontId="20" fillId="0" borderId="0" xfId="8" applyFont="1" applyAlignment="1">
      <alignment horizontal="left"/>
    </xf>
    <xf numFmtId="0" fontId="19" fillId="0" borderId="0" xfId="0" applyFont="1" applyAlignment="1">
      <alignment horizontal="left"/>
    </xf>
    <xf numFmtId="43" fontId="19" fillId="0" borderId="0" xfId="0" applyNumberFormat="1" applyFont="1"/>
    <xf numFmtId="41" fontId="19" fillId="0" borderId="0" xfId="0" applyNumberFormat="1" applyFont="1"/>
    <xf numFmtId="0" fontId="19" fillId="0" borderId="0" xfId="0" applyFont="1"/>
    <xf numFmtId="0" fontId="19" fillId="5" borderId="0" xfId="0" applyFont="1" applyFill="1"/>
    <xf numFmtId="41" fontId="20" fillId="0" borderId="0" xfId="8" applyNumberFormat="1" applyFont="1"/>
    <xf numFmtId="49" fontId="20" fillId="0" borderId="0" xfId="4" applyNumberFormat="1" applyFont="1" applyFill="1" applyBorder="1" applyProtection="1"/>
    <xf numFmtId="43" fontId="21" fillId="0" borderId="0" xfId="0" applyNumberFormat="1" applyFont="1"/>
    <xf numFmtId="41" fontId="21" fillId="0" borderId="0" xfId="0" applyNumberFormat="1" applyFont="1"/>
    <xf numFmtId="0" fontId="21" fillId="0" borderId="0" xfId="0" applyFont="1"/>
    <xf numFmtId="0" fontId="21" fillId="6" borderId="0" xfId="0" applyFont="1" applyFill="1"/>
    <xf numFmtId="0" fontId="22" fillId="0" borderId="0" xfId="0" applyFont="1" applyAlignment="1">
      <alignment horizontal="left"/>
    </xf>
    <xf numFmtId="0" fontId="22" fillId="0" borderId="0" xfId="0" applyFont="1"/>
    <xf numFmtId="43" fontId="22" fillId="0" borderId="0" xfId="0" applyNumberFormat="1" applyFont="1"/>
    <xf numFmtId="41" fontId="22" fillId="0" borderId="0" xfId="0" applyNumberFormat="1" applyFont="1"/>
    <xf numFmtId="49" fontId="22" fillId="0" borderId="0" xfId="8" applyNumberFormat="1" applyFont="1"/>
    <xf numFmtId="0" fontId="22" fillId="0" borderId="0" xfId="8" applyFont="1"/>
    <xf numFmtId="0" fontId="21" fillId="0" borderId="0" xfId="0" applyFont="1" applyAlignment="1">
      <alignment horizontal="left"/>
    </xf>
    <xf numFmtId="41" fontId="3" fillId="0" borderId="0" xfId="0" applyNumberFormat="1"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41" fontId="22" fillId="0" borderId="0" xfId="0" applyNumberFormat="1" applyFont="1" applyAlignment="1">
      <alignment horizontal="left"/>
    </xf>
    <xf numFmtId="0" fontId="22" fillId="6" borderId="0" xfId="0" applyFont="1" applyFill="1"/>
    <xf numFmtId="0" fontId="0" fillId="11" borderId="0" xfId="0" applyFill="1"/>
    <xf numFmtId="0" fontId="0" fillId="11" borderId="0" xfId="0" applyFill="1" applyAlignment="1">
      <alignment vertical="center" wrapText="1"/>
    </xf>
    <xf numFmtId="49" fontId="1" fillId="0" borderId="0" xfId="8" applyNumberFormat="1"/>
    <xf numFmtId="0" fontId="1" fillId="0" borderId="0" xfId="8"/>
    <xf numFmtId="0" fontId="30" fillId="0" borderId="0" xfId="8" applyFont="1"/>
    <xf numFmtId="0" fontId="21" fillId="0" borderId="0" xfId="8" applyFont="1"/>
    <xf numFmtId="41" fontId="21" fillId="0" borderId="0" xfId="0" applyNumberFormat="1" applyFont="1" applyAlignment="1">
      <alignment horizontal="left"/>
    </xf>
    <xf numFmtId="165" fontId="3" fillId="0" borderId="0" xfId="1" applyNumberFormat="1" applyFont="1" applyFill="1" applyBorder="1" applyAlignment="1" applyProtection="1"/>
    <xf numFmtId="165" fontId="1" fillId="0" borderId="0" xfId="1" applyNumberFormat="1" applyFont="1" applyFill="1" applyProtection="1"/>
    <xf numFmtId="0" fontId="3" fillId="9" borderId="45" xfId="0" applyFont="1" applyFill="1" applyBorder="1"/>
    <xf numFmtId="0" fontId="1" fillId="9" borderId="24" xfId="0" applyFont="1" applyFill="1" applyBorder="1"/>
    <xf numFmtId="0" fontId="3" fillId="9" borderId="24" xfId="0" applyFont="1" applyFill="1" applyBorder="1" applyAlignment="1">
      <alignment horizontal="center"/>
    </xf>
    <xf numFmtId="0" fontId="1" fillId="9" borderId="26" xfId="0" applyFont="1" applyFill="1" applyBorder="1"/>
    <xf numFmtId="0" fontId="1" fillId="9" borderId="0" xfId="0" applyFont="1" applyFill="1"/>
    <xf numFmtId="0" fontId="1" fillId="9" borderId="0" xfId="0" applyFont="1" applyFill="1" applyAlignment="1">
      <alignment horizontal="right"/>
    </xf>
    <xf numFmtId="165" fontId="1" fillId="9" borderId="0" xfId="0" applyNumberFormat="1" applyFont="1" applyFill="1"/>
    <xf numFmtId="0" fontId="31" fillId="0" borderId="0" xfId="0" applyFont="1"/>
    <xf numFmtId="0" fontId="1" fillId="9" borderId="36" xfId="0" applyFont="1" applyFill="1" applyBorder="1"/>
    <xf numFmtId="0" fontId="1" fillId="9" borderId="10" xfId="0" applyFont="1" applyFill="1" applyBorder="1"/>
    <xf numFmtId="0" fontId="1" fillId="9" borderId="10" xfId="0" applyFont="1" applyFill="1" applyBorder="1" applyAlignment="1">
      <alignment horizontal="right"/>
    </xf>
    <xf numFmtId="165" fontId="1" fillId="9" borderId="10" xfId="0" applyNumberFormat="1" applyFont="1" applyFill="1" applyBorder="1"/>
    <xf numFmtId="165" fontId="1" fillId="0" borderId="0" xfId="0" applyNumberFormat="1" applyFont="1"/>
    <xf numFmtId="14" fontId="1" fillId="0" borderId="0" xfId="0" applyNumberFormat="1" applyFont="1"/>
    <xf numFmtId="165" fontId="1" fillId="0" borderId="0" xfId="1" applyNumberFormat="1" applyFont="1" applyProtection="1"/>
    <xf numFmtId="0" fontId="33" fillId="0" borderId="0" xfId="0" applyFont="1"/>
    <xf numFmtId="0" fontId="34" fillId="0" borderId="0" xfId="0" applyFont="1"/>
    <xf numFmtId="0" fontId="3" fillId="0" borderId="0" xfId="0" applyFont="1" applyAlignment="1">
      <alignment horizontal="center"/>
    </xf>
    <xf numFmtId="43" fontId="3" fillId="0" borderId="0" xfId="0" applyNumberFormat="1" applyFont="1" applyAlignment="1">
      <alignment horizontal="center"/>
    </xf>
    <xf numFmtId="41" fontId="3" fillId="0" borderId="0" xfId="0" applyNumberFormat="1" applyFont="1" applyAlignment="1">
      <alignment horizontal="center"/>
    </xf>
    <xf numFmtId="0" fontId="3" fillId="9" borderId="44" xfId="0" applyFont="1" applyFill="1" applyBorder="1" applyAlignment="1">
      <alignment horizontal="center"/>
    </xf>
    <xf numFmtId="165" fontId="1" fillId="9" borderId="19" xfId="0" applyNumberFormat="1" applyFont="1" applyFill="1" applyBorder="1"/>
    <xf numFmtId="165" fontId="1" fillId="9" borderId="28" xfId="0" applyNumberFormat="1" applyFont="1" applyFill="1" applyBorder="1"/>
    <xf numFmtId="0" fontId="6" fillId="9" borderId="0" xfId="0" applyFont="1" applyFill="1"/>
    <xf numFmtId="0" fontId="3" fillId="9" borderId="0" xfId="0" applyFont="1" applyFill="1"/>
    <xf numFmtId="0" fontId="38" fillId="9" borderId="0" xfId="0" applyFont="1" applyFill="1"/>
    <xf numFmtId="0" fontId="38" fillId="9" borderId="0" xfId="0" applyFont="1" applyFill="1" applyAlignment="1">
      <alignment horizontal="right"/>
    </xf>
    <xf numFmtId="0" fontId="39" fillId="9" borderId="0" xfId="0" applyFont="1" applyFill="1"/>
    <xf numFmtId="0" fontId="38" fillId="9" borderId="10" xfId="0" applyFont="1" applyFill="1" applyBorder="1"/>
    <xf numFmtId="0" fontId="38" fillId="9" borderId="10" xfId="0" applyFont="1" applyFill="1" applyBorder="1" applyAlignment="1">
      <alignment horizontal="right"/>
    </xf>
    <xf numFmtId="0" fontId="47" fillId="0" borderId="0" xfId="0" applyFont="1"/>
    <xf numFmtId="0" fontId="46" fillId="0" borderId="0" xfId="0" applyFont="1"/>
    <xf numFmtId="0" fontId="36" fillId="12" borderId="0" xfId="0" applyFont="1" applyFill="1" applyAlignment="1">
      <alignment horizontal="center" vertical="center" wrapText="1"/>
    </xf>
    <xf numFmtId="0" fontId="36" fillId="12" borderId="2" xfId="0" applyFont="1" applyFill="1" applyBorder="1" applyAlignment="1" applyProtection="1">
      <alignment vertical="center"/>
      <protection locked="0"/>
    </xf>
    <xf numFmtId="0" fontId="24" fillId="12" borderId="2" xfId="0" applyFont="1" applyFill="1" applyBorder="1" applyProtection="1">
      <protection locked="0"/>
    </xf>
    <xf numFmtId="0" fontId="24" fillId="12" borderId="2" xfId="8" applyFont="1" applyFill="1" applyBorder="1" applyProtection="1">
      <protection locked="0"/>
    </xf>
    <xf numFmtId="0" fontId="24" fillId="12" borderId="1" xfId="0" applyFont="1" applyFill="1" applyBorder="1" applyProtection="1">
      <protection locked="0"/>
    </xf>
    <xf numFmtId="0" fontId="24" fillId="12" borderId="1" xfId="8" applyFont="1" applyFill="1" applyBorder="1" applyProtection="1">
      <protection locked="0"/>
    </xf>
    <xf numFmtId="0" fontId="36" fillId="12" borderId="2" xfId="0" applyFont="1" applyFill="1" applyBorder="1" applyProtection="1">
      <protection locked="0"/>
    </xf>
    <xf numFmtId="0" fontId="36" fillId="12" borderId="1" xfId="0" applyFont="1" applyFill="1" applyBorder="1" applyProtection="1">
      <protection locked="0"/>
    </xf>
    <xf numFmtId="0" fontId="36" fillId="12" borderId="10" xfId="0" applyFont="1" applyFill="1" applyBorder="1" applyAlignment="1" applyProtection="1">
      <alignment horizontal="left" vertical="center"/>
      <protection locked="0"/>
    </xf>
    <xf numFmtId="0" fontId="24" fillId="12" borderId="0" xfId="0" applyFont="1" applyFill="1" applyProtection="1">
      <protection locked="0"/>
    </xf>
    <xf numFmtId="14" fontId="24" fillId="12" borderId="8" xfId="0" applyNumberFormat="1" applyFont="1" applyFill="1" applyBorder="1" applyProtection="1">
      <protection locked="0"/>
    </xf>
    <xf numFmtId="9" fontId="24" fillId="12" borderId="8" xfId="0" applyNumberFormat="1" applyFont="1" applyFill="1" applyBorder="1" applyProtection="1">
      <protection locked="0"/>
    </xf>
    <xf numFmtId="0" fontId="24" fillId="12" borderId="35" xfId="0" applyFont="1" applyFill="1" applyBorder="1" applyAlignment="1" applyProtection="1">
      <alignment horizontal="left"/>
      <protection locked="0"/>
    </xf>
    <xf numFmtId="165" fontId="24" fillId="12" borderId="2" xfId="1" applyNumberFormat="1" applyFont="1" applyFill="1" applyBorder="1" applyProtection="1">
      <protection locked="0"/>
    </xf>
    <xf numFmtId="0" fontId="24" fillId="12" borderId="33" xfId="0" applyFont="1" applyFill="1" applyBorder="1" applyAlignment="1" applyProtection="1">
      <alignment horizontal="left"/>
      <protection locked="0"/>
    </xf>
    <xf numFmtId="165" fontId="24" fillId="12" borderId="1" xfId="1" applyNumberFormat="1" applyFont="1" applyFill="1" applyBorder="1" applyProtection="1">
      <protection locked="0"/>
    </xf>
    <xf numFmtId="165" fontId="24" fillId="12" borderId="31" xfId="1" applyNumberFormat="1" applyFont="1" applyFill="1" applyBorder="1" applyProtection="1">
      <protection locked="0"/>
    </xf>
    <xf numFmtId="165" fontId="24" fillId="12" borderId="38" xfId="1" applyNumberFormat="1" applyFont="1" applyFill="1" applyBorder="1" applyProtection="1">
      <protection locked="0"/>
    </xf>
    <xf numFmtId="165" fontId="24" fillId="12" borderId="11" xfId="1" applyNumberFormat="1" applyFont="1" applyFill="1" applyBorder="1" applyProtection="1">
      <protection locked="0"/>
    </xf>
    <xf numFmtId="165" fontId="24" fillId="12" borderId="9" xfId="1" applyNumberFormat="1" applyFont="1" applyFill="1" applyBorder="1" applyProtection="1">
      <protection locked="0"/>
    </xf>
    <xf numFmtId="165" fontId="24" fillId="12" borderId="12" xfId="1" applyNumberFormat="1" applyFont="1" applyFill="1" applyBorder="1" applyProtection="1">
      <protection locked="0"/>
    </xf>
    <xf numFmtId="165" fontId="24" fillId="12" borderId="3" xfId="1" applyNumberFormat="1" applyFont="1" applyFill="1" applyBorder="1" applyProtection="1">
      <protection locked="0"/>
    </xf>
    <xf numFmtId="165" fontId="24" fillId="12" borderId="8" xfId="1" applyNumberFormat="1" applyFont="1" applyFill="1" applyBorder="1" applyProtection="1">
      <protection locked="0"/>
    </xf>
    <xf numFmtId="0" fontId="36" fillId="12" borderId="26" xfId="0" applyFont="1" applyFill="1" applyBorder="1" applyAlignment="1" applyProtection="1">
      <alignment horizontal="left"/>
      <protection locked="0"/>
    </xf>
    <xf numFmtId="10" fontId="24" fillId="12" borderId="2" xfId="0" applyNumberFormat="1" applyFont="1" applyFill="1" applyBorder="1" applyProtection="1">
      <protection locked="0"/>
    </xf>
    <xf numFmtId="10" fontId="24" fillId="12" borderId="1" xfId="0" applyNumberFormat="1" applyFont="1" applyFill="1" applyBorder="1" applyProtection="1">
      <protection locked="0"/>
    </xf>
    <xf numFmtId="165" fontId="24" fillId="12" borderId="39" xfId="1" applyNumberFormat="1" applyFont="1" applyFill="1" applyBorder="1" applyProtection="1">
      <protection locked="0"/>
    </xf>
    <xf numFmtId="1" fontId="24" fillId="12" borderId="2" xfId="1" applyNumberFormat="1" applyFont="1" applyFill="1" applyBorder="1" applyAlignment="1" applyProtection="1">
      <protection locked="0"/>
    </xf>
    <xf numFmtId="1" fontId="24" fillId="12" borderId="1" xfId="1" applyNumberFormat="1" applyFont="1" applyFill="1" applyBorder="1" applyAlignment="1" applyProtection="1">
      <protection locked="0"/>
    </xf>
    <xf numFmtId="1" fontId="24" fillId="12" borderId="1" xfId="0" applyNumberFormat="1" applyFont="1" applyFill="1" applyBorder="1" applyProtection="1">
      <protection locked="0"/>
    </xf>
    <xf numFmtId="0" fontId="36" fillId="12" borderId="1" xfId="0" applyFont="1" applyFill="1" applyBorder="1" applyAlignment="1" applyProtection="1">
      <alignment horizontal="left" vertical="center"/>
      <protection locked="0"/>
    </xf>
    <xf numFmtId="165" fontId="24" fillId="12" borderId="32" xfId="1" applyNumberFormat="1" applyFont="1" applyFill="1" applyBorder="1" applyProtection="1">
      <protection locked="0"/>
    </xf>
    <xf numFmtId="164" fontId="24" fillId="12" borderId="33" xfId="0" applyNumberFormat="1" applyFont="1" applyFill="1" applyBorder="1" applyProtection="1">
      <protection locked="0"/>
    </xf>
    <xf numFmtId="164" fontId="24" fillId="12" borderId="35" xfId="0" applyNumberFormat="1" applyFont="1" applyFill="1" applyBorder="1" applyProtection="1">
      <protection locked="0"/>
    </xf>
    <xf numFmtId="165" fontId="24" fillId="12" borderId="34" xfId="1" applyNumberFormat="1" applyFont="1" applyFill="1" applyBorder="1" applyProtection="1">
      <protection locked="0"/>
    </xf>
    <xf numFmtId="164" fontId="24" fillId="12" borderId="55" xfId="0" applyNumberFormat="1" applyFont="1" applyFill="1" applyBorder="1" applyProtection="1">
      <protection locked="0"/>
    </xf>
    <xf numFmtId="10" fontId="24" fillId="12" borderId="55" xfId="0" applyNumberFormat="1" applyFont="1" applyFill="1" applyBorder="1" applyProtection="1">
      <protection locked="0"/>
    </xf>
    <xf numFmtId="165" fontId="24" fillId="12" borderId="38" xfId="1" applyNumberFormat="1" applyFont="1" applyFill="1" applyBorder="1" applyAlignment="1" applyProtection="1">
      <alignment vertical="top"/>
      <protection locked="0"/>
    </xf>
    <xf numFmtId="165" fontId="24" fillId="12" borderId="2" xfId="1" applyNumberFormat="1" applyFont="1" applyFill="1" applyBorder="1" applyAlignment="1" applyProtection="1">
      <protection locked="0"/>
    </xf>
    <xf numFmtId="165" fontId="24" fillId="12" borderId="1" xfId="1" applyNumberFormat="1" applyFont="1" applyFill="1" applyBorder="1" applyAlignment="1" applyProtection="1">
      <protection locked="0"/>
    </xf>
    <xf numFmtId="0" fontId="24" fillId="10" borderId="0" xfId="0" applyFont="1" applyFill="1" applyAlignment="1">
      <alignment vertical="center" wrapText="1"/>
    </xf>
    <xf numFmtId="0" fontId="24" fillId="10" borderId="10" xfId="0" applyFont="1" applyFill="1" applyBorder="1" applyAlignment="1">
      <alignment vertical="center" wrapText="1"/>
    </xf>
    <xf numFmtId="0" fontId="24" fillId="10" borderId="30" xfId="0" applyFont="1" applyFill="1" applyBorder="1" applyAlignment="1">
      <alignment vertical="center" wrapText="1"/>
    </xf>
    <xf numFmtId="0" fontId="24" fillId="10" borderId="24" xfId="0" applyFont="1" applyFill="1" applyBorder="1" applyAlignment="1">
      <alignment vertical="center" wrapText="1"/>
    </xf>
    <xf numFmtId="0" fontId="24" fillId="10" borderId="0" xfId="0" applyFont="1" applyFill="1"/>
    <xf numFmtId="0" fontId="24" fillId="15" borderId="0" xfId="0" applyFont="1" applyFill="1"/>
    <xf numFmtId="165" fontId="36" fillId="15" borderId="14" xfId="1" applyNumberFormat="1" applyFont="1" applyFill="1" applyBorder="1" applyProtection="1"/>
    <xf numFmtId="165" fontId="36" fillId="15" borderId="21" xfId="1" applyNumberFormat="1" applyFont="1" applyFill="1" applyBorder="1" applyProtection="1"/>
    <xf numFmtId="41" fontId="36" fillId="15" borderId="25" xfId="1" applyNumberFormat="1" applyFont="1" applyFill="1" applyBorder="1" applyAlignment="1" applyProtection="1">
      <alignment horizontal="center"/>
    </xf>
    <xf numFmtId="165" fontId="36" fillId="15" borderId="18" xfId="1" applyNumberFormat="1" applyFont="1" applyFill="1" applyBorder="1" applyProtection="1"/>
    <xf numFmtId="165" fontId="36" fillId="15" borderId="38" xfId="1" applyNumberFormat="1" applyFont="1" applyFill="1" applyBorder="1" applyProtection="1"/>
    <xf numFmtId="165" fontId="36" fillId="15" borderId="50" xfId="1" applyNumberFormat="1" applyFont="1" applyFill="1" applyBorder="1" applyProtection="1"/>
    <xf numFmtId="165" fontId="36" fillId="15" borderId="51" xfId="1" applyNumberFormat="1" applyFont="1" applyFill="1" applyBorder="1" applyProtection="1"/>
    <xf numFmtId="165" fontId="36" fillId="15" borderId="22" xfId="1" applyNumberFormat="1" applyFont="1" applyFill="1" applyBorder="1" applyProtection="1"/>
    <xf numFmtId="165" fontId="36" fillId="15" borderId="0" xfId="1" applyNumberFormat="1" applyFont="1" applyFill="1" applyBorder="1" applyProtection="1"/>
    <xf numFmtId="0" fontId="36" fillId="15" borderId="0" xfId="0" applyFont="1" applyFill="1" applyAlignment="1">
      <alignment horizontal="right"/>
    </xf>
    <xf numFmtId="41" fontId="36" fillId="15" borderId="52" xfId="1" applyNumberFormat="1" applyFont="1" applyFill="1" applyBorder="1" applyProtection="1"/>
    <xf numFmtId="41" fontId="36" fillId="15" borderId="51" xfId="1" applyNumberFormat="1" applyFont="1" applyFill="1" applyBorder="1" applyProtection="1"/>
    <xf numFmtId="165" fontId="36" fillId="15" borderId="53" xfId="1" applyNumberFormat="1" applyFont="1" applyFill="1" applyBorder="1" applyProtection="1"/>
    <xf numFmtId="165" fontId="36" fillId="15" borderId="19" xfId="1" applyNumberFormat="1" applyFont="1" applyFill="1" applyBorder="1" applyProtection="1"/>
    <xf numFmtId="165" fontId="36" fillId="15" borderId="25" xfId="1" applyNumberFormat="1" applyFont="1" applyFill="1" applyBorder="1" applyProtection="1"/>
    <xf numFmtId="165" fontId="36" fillId="15" borderId="27" xfId="1" applyNumberFormat="1" applyFont="1" applyFill="1" applyBorder="1" applyProtection="1"/>
    <xf numFmtId="0" fontId="36" fillId="15" borderId="26" xfId="0" applyFont="1" applyFill="1" applyBorder="1" applyAlignment="1">
      <alignment horizontal="center" vertical="center"/>
    </xf>
    <xf numFmtId="165" fontId="36" fillId="15" borderId="0" xfId="1" applyNumberFormat="1" applyFont="1" applyFill="1" applyBorder="1" applyAlignment="1" applyProtection="1">
      <alignment horizontal="center"/>
    </xf>
    <xf numFmtId="165" fontId="36" fillId="15" borderId="13" xfId="1" applyNumberFormat="1" applyFont="1" applyFill="1" applyBorder="1" applyAlignment="1" applyProtection="1">
      <alignment horizontal="center"/>
    </xf>
    <xf numFmtId="0" fontId="36" fillId="15" borderId="53" xfId="0" applyFont="1" applyFill="1" applyBorder="1" applyAlignment="1">
      <alignment horizontal="center" vertical="center"/>
    </xf>
    <xf numFmtId="165" fontId="24" fillId="15" borderId="9" xfId="1" applyNumberFormat="1" applyFont="1" applyFill="1" applyBorder="1" applyProtection="1"/>
    <xf numFmtId="165" fontId="36" fillId="15" borderId="53" xfId="1" applyNumberFormat="1" applyFont="1" applyFill="1" applyBorder="1" applyAlignment="1" applyProtection="1"/>
    <xf numFmtId="165" fontId="24" fillId="15" borderId="13" xfId="1" applyNumberFormat="1" applyFont="1" applyFill="1" applyBorder="1" applyProtection="1"/>
    <xf numFmtId="165" fontId="24" fillId="15" borderId="13" xfId="1" applyNumberFormat="1" applyFont="1" applyFill="1" applyBorder="1" applyAlignment="1" applyProtection="1"/>
    <xf numFmtId="165" fontId="36" fillId="15" borderId="23" xfId="1" applyNumberFormat="1" applyFont="1" applyFill="1" applyBorder="1" applyAlignment="1" applyProtection="1"/>
    <xf numFmtId="0" fontId="36" fillId="15" borderId="15" xfId="0" applyFont="1" applyFill="1" applyBorder="1" applyAlignment="1">
      <alignment vertical="center"/>
    </xf>
    <xf numFmtId="165" fontId="52" fillId="15" borderId="15" xfId="1" applyNumberFormat="1" applyFont="1" applyFill="1" applyBorder="1" applyAlignment="1" applyProtection="1"/>
    <xf numFmtId="165" fontId="36" fillId="15" borderId="38" xfId="1" applyNumberFormat="1" applyFont="1" applyFill="1" applyBorder="1" applyAlignment="1" applyProtection="1">
      <alignment vertical="top"/>
    </xf>
    <xf numFmtId="165" fontId="36" fillId="15" borderId="29" xfId="1" applyNumberFormat="1" applyFont="1" applyFill="1" applyBorder="1" applyProtection="1"/>
    <xf numFmtId="165" fontId="52" fillId="15" borderId="0" xfId="1" applyNumberFormat="1" applyFont="1" applyFill="1" applyBorder="1" applyAlignment="1" applyProtection="1"/>
    <xf numFmtId="165" fontId="24" fillId="16" borderId="0" xfId="1" applyNumberFormat="1" applyFont="1" applyFill="1" applyBorder="1" applyProtection="1"/>
    <xf numFmtId="165" fontId="24" fillId="16" borderId="19" xfId="1" applyNumberFormat="1" applyFont="1" applyFill="1" applyBorder="1" applyProtection="1"/>
    <xf numFmtId="165" fontId="24" fillId="16" borderId="10" xfId="1" applyNumberFormat="1" applyFont="1" applyFill="1" applyBorder="1" applyProtection="1"/>
    <xf numFmtId="165" fontId="24" fillId="16" borderId="28" xfId="1" applyNumberFormat="1" applyFont="1" applyFill="1" applyBorder="1" applyProtection="1"/>
    <xf numFmtId="165" fontId="24" fillId="16" borderId="56" xfId="1" applyNumberFormat="1" applyFont="1" applyFill="1" applyBorder="1" applyProtection="1"/>
    <xf numFmtId="165" fontId="36" fillId="16" borderId="28" xfId="1" applyNumberFormat="1" applyFont="1" applyFill="1" applyBorder="1" applyProtection="1"/>
    <xf numFmtId="165" fontId="36" fillId="16" borderId="22" xfId="1" applyNumberFormat="1" applyFont="1" applyFill="1" applyBorder="1" applyProtection="1"/>
    <xf numFmtId="41" fontId="24" fillId="16" borderId="8" xfId="1" applyNumberFormat="1" applyFont="1" applyFill="1" applyBorder="1" applyAlignment="1" applyProtection="1">
      <alignment horizontal="center"/>
    </xf>
    <xf numFmtId="41" fontId="24" fillId="16" borderId="8" xfId="1" applyNumberFormat="1" applyFont="1" applyFill="1" applyBorder="1" applyProtection="1"/>
    <xf numFmtId="41" fontId="24" fillId="16" borderId="9" xfId="1" applyNumberFormat="1" applyFont="1" applyFill="1" applyBorder="1" applyAlignment="1" applyProtection="1">
      <alignment horizontal="center"/>
    </xf>
    <xf numFmtId="165" fontId="24" fillId="16" borderId="22" xfId="1" applyNumberFormat="1" applyFont="1" applyFill="1" applyBorder="1" applyProtection="1"/>
    <xf numFmtId="165" fontId="36" fillId="16" borderId="18" xfId="1" applyNumberFormat="1" applyFont="1" applyFill="1" applyBorder="1" applyProtection="1"/>
    <xf numFmtId="0" fontId="53" fillId="16" borderId="20" xfId="0" applyFont="1" applyFill="1" applyBorder="1" applyAlignment="1">
      <alignment horizontal="center"/>
    </xf>
    <xf numFmtId="165" fontId="24" fillId="16" borderId="20" xfId="1" applyNumberFormat="1" applyFont="1" applyFill="1" applyBorder="1" applyProtection="1"/>
    <xf numFmtId="165" fontId="36" fillId="16" borderId="17" xfId="1" applyNumberFormat="1" applyFont="1" applyFill="1" applyBorder="1" applyProtection="1"/>
    <xf numFmtId="0" fontId="24" fillId="16" borderId="0" xfId="0" applyFont="1" applyFill="1"/>
    <xf numFmtId="41" fontId="24" fillId="16" borderId="34" xfId="1" applyNumberFormat="1" applyFont="1" applyFill="1" applyBorder="1" applyProtection="1"/>
    <xf numFmtId="41" fontId="24" fillId="16" borderId="9" xfId="1" applyNumberFormat="1" applyFont="1" applyFill="1" applyBorder="1" applyProtection="1"/>
    <xf numFmtId="0" fontId="53" fillId="16" borderId="2" xfId="0" applyFont="1" applyFill="1" applyBorder="1" applyAlignment="1">
      <alignment horizontal="center"/>
    </xf>
    <xf numFmtId="165" fontId="24" fillId="16" borderId="40" xfId="1" applyNumberFormat="1" applyFont="1" applyFill="1" applyBorder="1" applyProtection="1"/>
    <xf numFmtId="165" fontId="24" fillId="16" borderId="2" xfId="1" applyNumberFormat="1" applyFont="1" applyFill="1" applyBorder="1" applyProtection="1"/>
    <xf numFmtId="165" fontId="24" fillId="16" borderId="32" xfId="1" applyNumberFormat="1" applyFont="1" applyFill="1" applyBorder="1" applyProtection="1"/>
    <xf numFmtId="165" fontId="24" fillId="16" borderId="23" xfId="1" applyNumberFormat="1" applyFont="1" applyFill="1" applyBorder="1" applyProtection="1"/>
    <xf numFmtId="165" fontId="24" fillId="16" borderId="30" xfId="1" applyNumberFormat="1" applyFont="1" applyFill="1" applyBorder="1" applyProtection="1"/>
    <xf numFmtId="0" fontId="1" fillId="17" borderId="44" xfId="0" applyFont="1" applyFill="1" applyBorder="1"/>
    <xf numFmtId="0" fontId="1" fillId="17" borderId="19" xfId="0" applyFont="1" applyFill="1" applyBorder="1"/>
    <xf numFmtId="0" fontId="1" fillId="17" borderId="19" xfId="8" applyFill="1" applyBorder="1"/>
    <xf numFmtId="0" fontId="3" fillId="17" borderId="19" xfId="0" applyFont="1" applyFill="1" applyBorder="1"/>
    <xf numFmtId="0" fontId="3" fillId="17" borderId="19" xfId="0" applyFont="1" applyFill="1" applyBorder="1" applyAlignment="1">
      <alignment horizontal="right"/>
    </xf>
    <xf numFmtId="0" fontId="29" fillId="17" borderId="19" xfId="0" applyFont="1" applyFill="1" applyBorder="1"/>
    <xf numFmtId="0" fontId="5" fillId="17" borderId="19" xfId="0" applyFont="1" applyFill="1" applyBorder="1" applyAlignment="1">
      <alignment horizontal="center"/>
    </xf>
    <xf numFmtId="0" fontId="1" fillId="17" borderId="19" xfId="0" applyFont="1" applyFill="1" applyBorder="1" applyAlignment="1">
      <alignment horizontal="left"/>
    </xf>
    <xf numFmtId="41" fontId="3" fillId="17" borderId="19" xfId="0" applyNumberFormat="1" applyFont="1" applyFill="1" applyBorder="1" applyAlignment="1">
      <alignment horizontal="left"/>
    </xf>
    <xf numFmtId="41" fontId="3" fillId="17" borderId="59" xfId="0" applyNumberFormat="1" applyFont="1" applyFill="1" applyBorder="1" applyAlignment="1">
      <alignment horizontal="left"/>
    </xf>
    <xf numFmtId="0" fontId="3" fillId="17" borderId="46" xfId="0" applyFont="1" applyFill="1" applyBorder="1"/>
    <xf numFmtId="0" fontId="3" fillId="17" borderId="59" xfId="0" applyFont="1" applyFill="1" applyBorder="1" applyAlignment="1">
      <alignment horizontal="left"/>
    </xf>
    <xf numFmtId="0" fontId="3" fillId="17" borderId="19" xfId="0" applyFont="1" applyFill="1" applyBorder="1" applyAlignment="1">
      <alignment horizontal="left"/>
    </xf>
    <xf numFmtId="165" fontId="3" fillId="17" borderId="19" xfId="1" applyNumberFormat="1" applyFont="1" applyFill="1" applyBorder="1" applyProtection="1"/>
    <xf numFmtId="0" fontId="18" fillId="17" borderId="19" xfId="0" applyFont="1" applyFill="1" applyBorder="1"/>
    <xf numFmtId="0" fontId="19" fillId="17" borderId="19" xfId="0" applyFont="1" applyFill="1" applyBorder="1"/>
    <xf numFmtId="0" fontId="24" fillId="17" borderId="19" xfId="0" applyFont="1" applyFill="1" applyBorder="1"/>
    <xf numFmtId="0" fontId="21" fillId="17" borderId="19" xfId="0" applyFont="1" applyFill="1" applyBorder="1"/>
    <xf numFmtId="0" fontId="3" fillId="17" borderId="19" xfId="0" applyFont="1" applyFill="1" applyBorder="1" applyAlignment="1">
      <alignment vertical="center"/>
    </xf>
    <xf numFmtId="165" fontId="3" fillId="17" borderId="19" xfId="1" applyNumberFormat="1" applyFont="1" applyFill="1" applyBorder="1" applyAlignment="1" applyProtection="1"/>
    <xf numFmtId="165" fontId="3" fillId="17" borderId="28" xfId="1" applyNumberFormat="1" applyFont="1" applyFill="1" applyBorder="1" applyAlignment="1" applyProtection="1"/>
    <xf numFmtId="0" fontId="1" fillId="17" borderId="24" xfId="0" applyFont="1" applyFill="1" applyBorder="1"/>
    <xf numFmtId="0" fontId="3" fillId="17" borderId="24" xfId="0" applyFont="1" applyFill="1" applyBorder="1"/>
    <xf numFmtId="0" fontId="46" fillId="17" borderId="26" xfId="8" applyFont="1" applyFill="1" applyBorder="1"/>
    <xf numFmtId="0" fontId="46" fillId="17" borderId="0" xfId="8" applyFont="1" applyFill="1"/>
    <xf numFmtId="0" fontId="1" fillId="17" borderId="0" xfId="0" applyFont="1" applyFill="1"/>
    <xf numFmtId="0" fontId="3" fillId="17" borderId="0" xfId="0" applyFont="1" applyFill="1"/>
    <xf numFmtId="0" fontId="46" fillId="17" borderId="36" xfId="8" applyFont="1" applyFill="1" applyBorder="1"/>
    <xf numFmtId="0" fontId="46" fillId="17" borderId="10" xfId="8" applyFont="1" applyFill="1" applyBorder="1"/>
    <xf numFmtId="0" fontId="1" fillId="17" borderId="0" xfId="8" applyFill="1"/>
    <xf numFmtId="0" fontId="3" fillId="17" borderId="0" xfId="8" applyFont="1" applyFill="1"/>
    <xf numFmtId="0" fontId="3" fillId="17" borderId="26" xfId="8" applyFont="1" applyFill="1" applyBorder="1" applyAlignment="1">
      <alignment horizontal="right" vertical="center"/>
    </xf>
    <xf numFmtId="166" fontId="28" fillId="17" borderId="0" xfId="3" applyNumberFormat="1" applyFont="1" applyFill="1" applyBorder="1" applyAlignment="1" applyProtection="1">
      <alignment horizontal="left" indent="3"/>
    </xf>
    <xf numFmtId="0" fontId="15" fillId="17" borderId="0" xfId="8" applyFont="1" applyFill="1"/>
    <xf numFmtId="0" fontId="46" fillId="17" borderId="26" xfId="8" applyFont="1" applyFill="1" applyBorder="1" applyAlignment="1">
      <alignment vertical="center"/>
    </xf>
    <xf numFmtId="0" fontId="46" fillId="17" borderId="0" xfId="8" applyFont="1" applyFill="1" applyAlignment="1">
      <alignment vertical="center"/>
    </xf>
    <xf numFmtId="10" fontId="46" fillId="17" borderId="19" xfId="8" applyNumberFormat="1" applyFont="1" applyFill="1" applyBorder="1"/>
    <xf numFmtId="0" fontId="4" fillId="17" borderId="0" xfId="8" applyFont="1" applyFill="1"/>
    <xf numFmtId="0" fontId="46" fillId="17" borderId="26" xfId="0" applyFont="1" applyFill="1" applyBorder="1" applyAlignment="1">
      <alignment vertical="center"/>
    </xf>
    <xf numFmtId="0" fontId="46" fillId="17" borderId="0" xfId="0" applyFont="1" applyFill="1" applyAlignment="1">
      <alignment vertical="center"/>
    </xf>
    <xf numFmtId="0" fontId="3" fillId="17" borderId="26" xfId="8" applyFont="1" applyFill="1" applyBorder="1" applyAlignment="1">
      <alignment horizontal="right"/>
    </xf>
    <xf numFmtId="0" fontId="46" fillId="17" borderId="26" xfId="0" applyFont="1" applyFill="1" applyBorder="1"/>
    <xf numFmtId="0" fontId="46" fillId="17" borderId="0" xfId="0" applyFont="1" applyFill="1"/>
    <xf numFmtId="0" fontId="1" fillId="17" borderId="0" xfId="8" applyFill="1" applyAlignment="1">
      <alignment horizontal="center"/>
    </xf>
    <xf numFmtId="0" fontId="46" fillId="17" borderId="36" xfId="0" applyFont="1" applyFill="1" applyBorder="1" applyAlignment="1">
      <alignment vertical="center"/>
    </xf>
    <xf numFmtId="0" fontId="46" fillId="17" borderId="10" xfId="0" applyFont="1" applyFill="1" applyBorder="1" applyAlignment="1">
      <alignment vertical="center"/>
    </xf>
    <xf numFmtId="10" fontId="46" fillId="17" borderId="28" xfId="0" applyNumberFormat="1" applyFont="1" applyFill="1" applyBorder="1"/>
    <xf numFmtId="0" fontId="46" fillId="17" borderId="41" xfId="0" applyFont="1" applyFill="1" applyBorder="1" applyAlignment="1">
      <alignment vertical="center"/>
    </xf>
    <xf numFmtId="0" fontId="46" fillId="17" borderId="30" xfId="0" applyFont="1" applyFill="1" applyBorder="1" applyAlignment="1">
      <alignment vertical="center"/>
    </xf>
    <xf numFmtId="0" fontId="3" fillId="17" borderId="0" xfId="0" applyFont="1" applyFill="1" applyAlignment="1">
      <alignment horizontal="left"/>
    </xf>
    <xf numFmtId="0" fontId="3" fillId="17" borderId="26" xfId="0" applyFont="1" applyFill="1" applyBorder="1" applyAlignment="1">
      <alignment horizontal="right" vertical="center"/>
    </xf>
    <xf numFmtId="0" fontId="3" fillId="17" borderId="0" xfId="0" applyFont="1" applyFill="1" applyAlignment="1">
      <alignment horizontal="center" vertical="center"/>
    </xf>
    <xf numFmtId="0" fontId="3" fillId="17" borderId="26" xfId="0" applyFont="1" applyFill="1" applyBorder="1" applyAlignment="1">
      <alignment horizontal="right"/>
    </xf>
    <xf numFmtId="14" fontId="1" fillId="17" borderId="0" xfId="0" applyNumberFormat="1" applyFont="1" applyFill="1"/>
    <xf numFmtId="0" fontId="3" fillId="17" borderId="0" xfId="0" applyFont="1" applyFill="1" applyAlignment="1">
      <alignment horizontal="right"/>
    </xf>
    <xf numFmtId="9" fontId="3" fillId="17" borderId="26" xfId="0" applyNumberFormat="1" applyFont="1" applyFill="1" applyBorder="1"/>
    <xf numFmtId="9" fontId="3" fillId="17" borderId="0" xfId="0" applyNumberFormat="1" applyFont="1" applyFill="1"/>
    <xf numFmtId="9" fontId="3" fillId="17" borderId="0" xfId="0" applyNumberFormat="1" applyFont="1" applyFill="1" applyAlignment="1">
      <alignment horizontal="right"/>
    </xf>
    <xf numFmtId="0" fontId="3" fillId="17" borderId="0" xfId="0" applyFont="1" applyFill="1" applyAlignment="1">
      <alignment horizontal="center"/>
    </xf>
    <xf numFmtId="0" fontId="1" fillId="17" borderId="26" xfId="0" applyFont="1" applyFill="1" applyBorder="1" applyAlignment="1">
      <alignment horizontal="left"/>
    </xf>
    <xf numFmtId="0" fontId="1" fillId="17" borderId="36" xfId="0" applyFont="1" applyFill="1" applyBorder="1" applyAlignment="1">
      <alignment horizontal="left"/>
    </xf>
    <xf numFmtId="41" fontId="3" fillId="17" borderId="26" xfId="0" applyNumberFormat="1" applyFont="1" applyFill="1" applyBorder="1" applyAlignment="1">
      <alignment horizontal="left"/>
    </xf>
    <xf numFmtId="165" fontId="1" fillId="17" borderId="0" xfId="1" applyNumberFormat="1" applyFont="1" applyFill="1" applyBorder="1" applyProtection="1"/>
    <xf numFmtId="41" fontId="1" fillId="17" borderId="0" xfId="0" applyNumberFormat="1" applyFont="1" applyFill="1"/>
    <xf numFmtId="165" fontId="3" fillId="17" borderId="0" xfId="1" applyNumberFormat="1" applyFont="1" applyFill="1" applyBorder="1" applyProtection="1"/>
    <xf numFmtId="41" fontId="1" fillId="17" borderId="58" xfId="0" applyNumberFormat="1" applyFont="1" applyFill="1" applyBorder="1" applyAlignment="1">
      <alignment horizontal="left"/>
    </xf>
    <xf numFmtId="165" fontId="1" fillId="17" borderId="16" xfId="1" applyNumberFormat="1" applyFont="1" applyFill="1" applyBorder="1" applyProtection="1"/>
    <xf numFmtId="41" fontId="1" fillId="17" borderId="16" xfId="0" applyNumberFormat="1" applyFont="1" applyFill="1" applyBorder="1"/>
    <xf numFmtId="165" fontId="3" fillId="17" borderId="16" xfId="1" applyNumberFormat="1" applyFont="1" applyFill="1" applyBorder="1" applyAlignment="1" applyProtection="1">
      <alignment horizontal="center"/>
    </xf>
    <xf numFmtId="165" fontId="1" fillId="17" borderId="16" xfId="1" applyNumberFormat="1" applyFont="1" applyFill="1" applyBorder="1" applyAlignment="1" applyProtection="1">
      <alignment horizontal="center"/>
    </xf>
    <xf numFmtId="0" fontId="3" fillId="17" borderId="47" xfId="0" applyFont="1" applyFill="1" applyBorder="1" applyAlignment="1">
      <alignment vertical="center"/>
    </xf>
    <xf numFmtId="165" fontId="1" fillId="17" borderId="37" xfId="1" applyNumberFormat="1" applyFont="1" applyFill="1" applyBorder="1" applyAlignment="1" applyProtection="1">
      <alignment vertical="top"/>
    </xf>
    <xf numFmtId="41" fontId="1" fillId="17" borderId="37" xfId="0" applyNumberFormat="1" applyFont="1" applyFill="1" applyBorder="1" applyAlignment="1">
      <alignment vertical="top"/>
    </xf>
    <xf numFmtId="165" fontId="3" fillId="17" borderId="37" xfId="1" applyNumberFormat="1" applyFont="1" applyFill="1" applyBorder="1" applyAlignment="1" applyProtection="1">
      <alignment vertical="top"/>
    </xf>
    <xf numFmtId="165" fontId="3" fillId="17" borderId="46" xfId="1" applyNumberFormat="1" applyFont="1" applyFill="1" applyBorder="1" applyAlignment="1" applyProtection="1">
      <alignment horizontal="right" vertical="top"/>
    </xf>
    <xf numFmtId="165" fontId="3" fillId="17" borderId="47" xfId="1" applyNumberFormat="1" applyFont="1" applyFill="1" applyBorder="1" applyAlignment="1" applyProtection="1">
      <alignment vertical="top"/>
    </xf>
    <xf numFmtId="0" fontId="1" fillId="17" borderId="26" xfId="0" applyFont="1" applyFill="1" applyBorder="1"/>
    <xf numFmtId="41" fontId="3" fillId="17" borderId="0" xfId="0" applyNumberFormat="1" applyFont="1" applyFill="1"/>
    <xf numFmtId="41" fontId="3" fillId="17" borderId="6" xfId="0" applyNumberFormat="1" applyFont="1" applyFill="1" applyBorder="1" applyAlignment="1">
      <alignment horizontal="right"/>
    </xf>
    <xf numFmtId="165" fontId="3" fillId="17" borderId="5" xfId="1" applyNumberFormat="1" applyFont="1" applyFill="1" applyBorder="1" applyAlignment="1" applyProtection="1"/>
    <xf numFmtId="165" fontId="3" fillId="17" borderId="0" xfId="1" applyNumberFormat="1" applyFont="1" applyFill="1" applyBorder="1" applyAlignment="1" applyProtection="1"/>
    <xf numFmtId="165" fontId="3" fillId="17" borderId="6" xfId="1" applyNumberFormat="1" applyFont="1" applyFill="1" applyBorder="1" applyAlignment="1" applyProtection="1">
      <alignment horizontal="right"/>
    </xf>
    <xf numFmtId="41" fontId="3" fillId="17" borderId="0" xfId="0" applyNumberFormat="1" applyFont="1" applyFill="1" applyAlignment="1">
      <alignment horizontal="right"/>
    </xf>
    <xf numFmtId="0" fontId="3" fillId="17" borderId="58" xfId="0" applyFont="1" applyFill="1" applyBorder="1" applyAlignment="1">
      <alignment horizontal="left"/>
    </xf>
    <xf numFmtId="0" fontId="1" fillId="17" borderId="16" xfId="0" applyFont="1" applyFill="1" applyBorder="1"/>
    <xf numFmtId="165" fontId="3" fillId="17" borderId="16" xfId="1" applyNumberFormat="1" applyFont="1" applyFill="1" applyBorder="1" applyProtection="1"/>
    <xf numFmtId="0" fontId="3" fillId="17" borderId="26" xfId="0" applyFont="1" applyFill="1" applyBorder="1" applyAlignment="1">
      <alignment horizontal="left"/>
    </xf>
    <xf numFmtId="165" fontId="41" fillId="17" borderId="19" xfId="1" applyNumberFormat="1" applyFont="1" applyFill="1" applyBorder="1" applyProtection="1"/>
    <xf numFmtId="41" fontId="1" fillId="17" borderId="0" xfId="1" applyNumberFormat="1" applyFont="1" applyFill="1" applyBorder="1" applyAlignment="1" applyProtection="1">
      <alignment horizontal="center"/>
    </xf>
    <xf numFmtId="41" fontId="1" fillId="17" borderId="0" xfId="1" applyNumberFormat="1" applyFont="1" applyFill="1" applyBorder="1" applyProtection="1"/>
    <xf numFmtId="165" fontId="1" fillId="17" borderId="57" xfId="1" applyNumberFormat="1" applyFont="1" applyFill="1" applyBorder="1" applyProtection="1"/>
    <xf numFmtId="0" fontId="1" fillId="17" borderId="0" xfId="0" applyFont="1" applyFill="1" applyAlignment="1">
      <alignment horizontal="center"/>
    </xf>
    <xf numFmtId="165" fontId="3" fillId="17" borderId="0" xfId="1" applyNumberFormat="1" applyFont="1" applyFill="1" applyBorder="1" applyAlignment="1" applyProtection="1">
      <alignment horizontal="center"/>
    </xf>
    <xf numFmtId="165" fontId="41" fillId="17" borderId="19" xfId="1" applyNumberFormat="1" applyFont="1" applyFill="1" applyBorder="1" applyAlignment="1" applyProtection="1">
      <alignment horizontal="center"/>
    </xf>
    <xf numFmtId="165" fontId="1" fillId="17" borderId="5" xfId="1" applyNumberFormat="1" applyFont="1" applyFill="1" applyBorder="1" applyProtection="1"/>
    <xf numFmtId="0" fontId="3" fillId="17" borderId="60" xfId="0" applyFont="1" applyFill="1" applyBorder="1" applyAlignment="1">
      <alignment vertical="center"/>
    </xf>
    <xf numFmtId="0" fontId="1" fillId="17" borderId="26" xfId="0" applyFont="1" applyFill="1" applyBorder="1" applyAlignment="1">
      <alignment horizontal="right"/>
    </xf>
    <xf numFmtId="0" fontId="18" fillId="17" borderId="0" xfId="0" applyFont="1" applyFill="1"/>
    <xf numFmtId="0" fontId="3" fillId="17" borderId="0" xfId="0" applyFont="1" applyFill="1" applyAlignment="1">
      <alignment vertical="center"/>
    </xf>
    <xf numFmtId="0" fontId="4" fillId="17" borderId="0" xfId="0" applyFont="1" applyFill="1" applyAlignment="1">
      <alignment horizontal="center"/>
    </xf>
    <xf numFmtId="0" fontId="1" fillId="17" borderId="0" xfId="0" applyFont="1" applyFill="1" applyAlignment="1">
      <alignment horizontal="left"/>
    </xf>
    <xf numFmtId="0" fontId="1" fillId="17" borderId="33" xfId="0" applyFont="1" applyFill="1" applyBorder="1" applyAlignment="1">
      <alignment horizontal="right"/>
    </xf>
    <xf numFmtId="0" fontId="18" fillId="17" borderId="2" xfId="0" applyFont="1" applyFill="1" applyBorder="1"/>
    <xf numFmtId="0" fontId="3" fillId="17" borderId="3" xfId="0" applyFont="1" applyFill="1" applyBorder="1" applyAlignment="1">
      <alignment vertical="center"/>
    </xf>
    <xf numFmtId="0" fontId="19" fillId="17" borderId="0" xfId="0" applyFont="1" applyFill="1"/>
    <xf numFmtId="0" fontId="19" fillId="17" borderId="2" xfId="0" applyFont="1" applyFill="1" applyBorder="1"/>
    <xf numFmtId="0" fontId="3" fillId="17" borderId="3" xfId="0" applyFont="1" applyFill="1" applyBorder="1"/>
    <xf numFmtId="0" fontId="22" fillId="17" borderId="0" xfId="0" applyFont="1" applyFill="1"/>
    <xf numFmtId="0" fontId="22" fillId="17" borderId="2" xfId="0" applyFont="1" applyFill="1" applyBorder="1"/>
    <xf numFmtId="0" fontId="1" fillId="17" borderId="48" xfId="0" applyFont="1" applyFill="1" applyBorder="1" applyAlignment="1">
      <alignment horizontal="right"/>
    </xf>
    <xf numFmtId="0" fontId="22" fillId="17" borderId="20" xfId="0" applyFont="1" applyFill="1" applyBorder="1"/>
    <xf numFmtId="166" fontId="46" fillId="17" borderId="19" xfId="3" applyNumberFormat="1" applyFont="1" applyFill="1" applyBorder="1" applyAlignment="1" applyProtection="1"/>
    <xf numFmtId="10" fontId="46" fillId="17" borderId="19" xfId="0" applyNumberFormat="1" applyFont="1" applyFill="1" applyBorder="1"/>
    <xf numFmtId="41" fontId="1" fillId="17" borderId="1" xfId="1" applyNumberFormat="1" applyFont="1" applyFill="1" applyBorder="1" applyProtection="1"/>
    <xf numFmtId="165" fontId="1" fillId="17" borderId="37" xfId="1" applyNumberFormat="1" applyFont="1" applyFill="1" applyBorder="1" applyProtection="1"/>
    <xf numFmtId="41" fontId="1" fillId="17" borderId="37" xfId="0" applyNumberFormat="1" applyFont="1" applyFill="1" applyBorder="1"/>
    <xf numFmtId="165" fontId="1" fillId="17" borderId="15" xfId="1" applyNumberFormat="1" applyFont="1" applyFill="1" applyBorder="1" applyAlignment="1" applyProtection="1"/>
    <xf numFmtId="165" fontId="3" fillId="17" borderId="15" xfId="1" applyNumberFormat="1" applyFont="1" applyFill="1" applyBorder="1" applyAlignment="1" applyProtection="1">
      <alignment horizontal="center"/>
    </xf>
    <xf numFmtId="165" fontId="1" fillId="17" borderId="15" xfId="1" applyNumberFormat="1" applyFont="1" applyFill="1" applyBorder="1" applyAlignment="1" applyProtection="1">
      <alignment horizontal="center"/>
    </xf>
    <xf numFmtId="0" fontId="1" fillId="17" borderId="15" xfId="0" applyFont="1" applyFill="1" applyBorder="1"/>
    <xf numFmtId="165" fontId="1" fillId="17" borderId="15" xfId="1" applyNumberFormat="1" applyFont="1" applyFill="1" applyBorder="1" applyProtection="1"/>
    <xf numFmtId="165" fontId="41" fillId="17" borderId="54" xfId="1" applyNumberFormat="1" applyFont="1" applyFill="1" applyBorder="1" applyProtection="1"/>
    <xf numFmtId="165" fontId="1" fillId="17" borderId="0" xfId="1" applyNumberFormat="1" applyFont="1" applyFill="1" applyBorder="1" applyAlignment="1" applyProtection="1">
      <alignment horizontal="center"/>
    </xf>
    <xf numFmtId="0" fontId="24" fillId="0" borderId="0" xfId="0" applyFont="1"/>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2" borderId="24" xfId="0" applyFont="1" applyFill="1" applyBorder="1"/>
    <xf numFmtId="0" fontId="24" fillId="2" borderId="44" xfId="0" applyFont="1" applyFill="1" applyBorder="1"/>
    <xf numFmtId="0" fontId="46" fillId="2" borderId="26" xfId="8" applyFont="1" applyFill="1" applyBorder="1"/>
    <xf numFmtId="0" fontId="46" fillId="2" borderId="0" xfId="8" applyFont="1" applyFill="1"/>
    <xf numFmtId="166" fontId="46" fillId="2" borderId="19" xfId="3" applyNumberFormat="1" applyFont="1" applyFill="1" applyBorder="1" applyAlignment="1" applyProtection="1"/>
    <xf numFmtId="0" fontId="1" fillId="2" borderId="19" xfId="0" applyFont="1" applyFill="1" applyBorder="1"/>
    <xf numFmtId="0" fontId="46" fillId="2" borderId="36" xfId="8" applyFont="1" applyFill="1" applyBorder="1"/>
    <xf numFmtId="0" fontId="46" fillId="2" borderId="10" xfId="8" applyFont="1" applyFill="1" applyBorder="1"/>
    <xf numFmtId="0" fontId="3" fillId="0" borderId="0" xfId="0" applyFont="1" applyAlignment="1">
      <alignment horizontal="right"/>
    </xf>
    <xf numFmtId="165" fontId="3" fillId="0" borderId="0" xfId="1" applyNumberFormat="1" applyFont="1" applyFill="1" applyBorder="1" applyProtection="1"/>
    <xf numFmtId="0" fontId="1" fillId="2" borderId="19" xfId="8" applyFill="1" applyBorder="1"/>
    <xf numFmtId="0" fontId="3" fillId="2" borderId="19" xfId="0" applyFont="1" applyFill="1" applyBorder="1"/>
    <xf numFmtId="0" fontId="3" fillId="2" borderId="19" xfId="0" applyFont="1" applyFill="1" applyBorder="1" applyAlignment="1">
      <alignment horizontal="right"/>
    </xf>
    <xf numFmtId="0" fontId="29" fillId="2" borderId="19" xfId="0" applyFont="1" applyFill="1" applyBorder="1"/>
    <xf numFmtId="0" fontId="5" fillId="2" borderId="19" xfId="0" applyFont="1" applyFill="1" applyBorder="1" applyAlignment="1">
      <alignment horizontal="center"/>
    </xf>
    <xf numFmtId="0" fontId="1" fillId="2" borderId="19" xfId="0" applyFont="1" applyFill="1" applyBorder="1" applyAlignment="1">
      <alignment horizontal="left"/>
    </xf>
    <xf numFmtId="41" fontId="3" fillId="2" borderId="19" xfId="0" applyNumberFormat="1" applyFont="1" applyFill="1" applyBorder="1" applyAlignment="1">
      <alignment horizontal="left"/>
    </xf>
    <xf numFmtId="41" fontId="3" fillId="2" borderId="59" xfId="0" applyNumberFormat="1" applyFont="1" applyFill="1" applyBorder="1" applyAlignment="1">
      <alignment horizontal="left"/>
    </xf>
    <xf numFmtId="0" fontId="3" fillId="2" borderId="46" xfId="0" applyFont="1" applyFill="1" applyBorder="1"/>
    <xf numFmtId="0" fontId="3" fillId="2" borderId="59" xfId="0" applyFont="1" applyFill="1" applyBorder="1" applyAlignment="1">
      <alignment horizontal="left"/>
    </xf>
    <xf numFmtId="0" fontId="18" fillId="2" borderId="19" xfId="0" applyFont="1" applyFill="1" applyBorder="1"/>
    <xf numFmtId="0" fontId="19" fillId="2" borderId="19" xfId="0" applyFont="1" applyFill="1" applyBorder="1"/>
    <xf numFmtId="0" fontId="24" fillId="2" borderId="19" xfId="0" applyFont="1" applyFill="1" applyBorder="1"/>
    <xf numFmtId="0" fontId="21" fillId="2" borderId="19" xfId="0" applyFont="1" applyFill="1" applyBorder="1"/>
    <xf numFmtId="0" fontId="3" fillId="2" borderId="19" xfId="0" applyFont="1" applyFill="1" applyBorder="1" applyAlignment="1">
      <alignment vertical="center"/>
    </xf>
    <xf numFmtId="165" fontId="3" fillId="2" borderId="19" xfId="1" applyNumberFormat="1" applyFont="1" applyFill="1" applyBorder="1" applyAlignment="1" applyProtection="1"/>
    <xf numFmtId="165" fontId="3" fillId="2" borderId="23" xfId="1" applyNumberFormat="1" applyFont="1" applyFill="1" applyBorder="1" applyAlignment="1" applyProtection="1"/>
    <xf numFmtId="0" fontId="24" fillId="18" borderId="0" xfId="0" applyFont="1" applyFill="1"/>
    <xf numFmtId="0" fontId="3" fillId="18" borderId="0" xfId="0" applyFont="1" applyFill="1" applyAlignment="1">
      <alignment horizontal="center"/>
    </xf>
    <xf numFmtId="165" fontId="36" fillId="18" borderId="14" xfId="1" applyNumberFormat="1" applyFont="1" applyFill="1" applyBorder="1" applyProtection="1"/>
    <xf numFmtId="165" fontId="36" fillId="18" borderId="21" xfId="1" applyNumberFormat="1" applyFont="1" applyFill="1" applyBorder="1" applyProtection="1"/>
    <xf numFmtId="41" fontId="36" fillId="18" borderId="25" xfId="1" applyNumberFormat="1" applyFont="1" applyFill="1" applyBorder="1" applyAlignment="1" applyProtection="1">
      <alignment horizontal="center"/>
    </xf>
    <xf numFmtId="165" fontId="36" fillId="18" borderId="18" xfId="1" applyNumberFormat="1" applyFont="1" applyFill="1" applyBorder="1" applyProtection="1"/>
    <xf numFmtId="165" fontId="36" fillId="18" borderId="38" xfId="1" applyNumberFormat="1" applyFont="1" applyFill="1" applyBorder="1" applyProtection="1"/>
    <xf numFmtId="165" fontId="36" fillId="18" borderId="50" xfId="1" applyNumberFormat="1" applyFont="1" applyFill="1" applyBorder="1" applyProtection="1"/>
    <xf numFmtId="165" fontId="36" fillId="18" borderId="51" xfId="1" applyNumberFormat="1" applyFont="1" applyFill="1" applyBorder="1" applyProtection="1"/>
    <xf numFmtId="165" fontId="36" fillId="18" borderId="22" xfId="1" applyNumberFormat="1" applyFont="1" applyFill="1" applyBorder="1" applyProtection="1"/>
    <xf numFmtId="41" fontId="36" fillId="18" borderId="52" xfId="1" applyNumberFormat="1" applyFont="1" applyFill="1" applyBorder="1" applyProtection="1"/>
    <xf numFmtId="41" fontId="36" fillId="18" borderId="51" xfId="1" applyNumberFormat="1" applyFont="1" applyFill="1" applyBorder="1" applyProtection="1"/>
    <xf numFmtId="165" fontId="36" fillId="18" borderId="53" xfId="1" applyNumberFormat="1" applyFont="1" applyFill="1" applyBorder="1" applyProtection="1"/>
    <xf numFmtId="165" fontId="41" fillId="2" borderId="19" xfId="1" applyNumberFormat="1" applyFont="1" applyFill="1" applyBorder="1" applyProtection="1"/>
    <xf numFmtId="165" fontId="36" fillId="18" borderId="0" xfId="1" applyNumberFormat="1" applyFont="1" applyFill="1" applyBorder="1" applyProtection="1"/>
    <xf numFmtId="0" fontId="36" fillId="18" borderId="0" xfId="0" applyFont="1" applyFill="1" applyAlignment="1">
      <alignment horizontal="right"/>
    </xf>
    <xf numFmtId="0" fontId="36" fillId="18" borderId="29" xfId="0" applyFont="1" applyFill="1" applyBorder="1" applyAlignment="1">
      <alignment horizontal="right"/>
    </xf>
    <xf numFmtId="165" fontId="3" fillId="0" borderId="0" xfId="1" applyNumberFormat="1" applyFont="1" applyFill="1" applyBorder="1" applyAlignment="1" applyProtection="1">
      <alignment horizontal="right"/>
    </xf>
    <xf numFmtId="0" fontId="36" fillId="0" borderId="0" xfId="0" applyFont="1"/>
    <xf numFmtId="41" fontId="47" fillId="0" borderId="0" xfId="0" applyNumberFormat="1" applyFont="1"/>
    <xf numFmtId="43" fontId="47" fillId="0" borderId="0" xfId="0" applyNumberFormat="1" applyFont="1"/>
    <xf numFmtId="165" fontId="1" fillId="17" borderId="24" xfId="1" applyNumberFormat="1" applyFont="1" applyFill="1" applyBorder="1" applyProtection="1"/>
    <xf numFmtId="41" fontId="1" fillId="17" borderId="24" xfId="0" applyNumberFormat="1" applyFont="1" applyFill="1" applyBorder="1"/>
    <xf numFmtId="165" fontId="1" fillId="17" borderId="44" xfId="1" applyNumberFormat="1" applyFont="1" applyFill="1" applyBorder="1" applyProtection="1"/>
    <xf numFmtId="41" fontId="1" fillId="17" borderId="57" xfId="0" applyNumberFormat="1" applyFont="1" applyFill="1" applyBorder="1"/>
    <xf numFmtId="165" fontId="1" fillId="17" borderId="0" xfId="1" applyNumberFormat="1" applyFont="1" applyFill="1" applyBorder="1" applyAlignment="1" applyProtection="1">
      <alignment horizontal="center"/>
      <protection locked="0"/>
    </xf>
    <xf numFmtId="0" fontId="1" fillId="17" borderId="0" xfId="0" applyFont="1" applyFill="1" applyProtection="1">
      <protection locked="0"/>
    </xf>
    <xf numFmtId="165" fontId="3" fillId="17" borderId="15" xfId="1" applyNumberFormat="1" applyFont="1" applyFill="1" applyBorder="1" applyProtection="1"/>
    <xf numFmtId="165" fontId="3" fillId="17" borderId="54" xfId="1" applyNumberFormat="1" applyFont="1" applyFill="1" applyBorder="1" applyProtection="1"/>
    <xf numFmtId="0" fontId="24" fillId="2" borderId="44" xfId="8" applyFont="1" applyFill="1" applyBorder="1"/>
    <xf numFmtId="41" fontId="1" fillId="17" borderId="34" xfId="1" applyNumberFormat="1" applyFont="1" applyFill="1" applyBorder="1" applyProtection="1"/>
    <xf numFmtId="0" fontId="1" fillId="17" borderId="57" xfId="0" applyFont="1" applyFill="1" applyBorder="1"/>
    <xf numFmtId="0" fontId="36" fillId="17" borderId="0" xfId="0" applyFont="1" applyFill="1"/>
    <xf numFmtId="41" fontId="36" fillId="0" borderId="0" xfId="0" applyNumberFormat="1" applyFont="1"/>
    <xf numFmtId="0" fontId="46" fillId="0" borderId="0" xfId="0" applyFont="1" applyAlignment="1">
      <alignment horizontal="left"/>
    </xf>
    <xf numFmtId="0" fontId="47" fillId="0" borderId="0" xfId="0" applyFont="1" applyAlignment="1">
      <alignment horizontal="left"/>
    </xf>
    <xf numFmtId="0" fontId="46" fillId="17" borderId="19" xfId="0" applyFont="1" applyFill="1" applyBorder="1"/>
    <xf numFmtId="0" fontId="29" fillId="17" borderId="0" xfId="0" applyFont="1" applyFill="1"/>
    <xf numFmtId="0" fontId="5" fillId="17" borderId="0" xfId="0" applyFont="1" applyFill="1" applyAlignment="1">
      <alignment horizontal="center"/>
    </xf>
    <xf numFmtId="0" fontId="2" fillId="17" borderId="19" xfId="0" applyFont="1" applyFill="1" applyBorder="1"/>
    <xf numFmtId="41" fontId="3" fillId="17" borderId="0" xfId="0" applyNumberFormat="1" applyFont="1" applyFill="1" applyAlignment="1">
      <alignment horizontal="left"/>
    </xf>
    <xf numFmtId="41" fontId="1" fillId="17" borderId="19" xfId="0" applyNumberFormat="1" applyFont="1" applyFill="1" applyBorder="1"/>
    <xf numFmtId="41" fontId="3" fillId="17" borderId="16" xfId="0" applyNumberFormat="1" applyFont="1" applyFill="1" applyBorder="1" applyAlignment="1">
      <alignment horizontal="left"/>
    </xf>
    <xf numFmtId="0" fontId="3" fillId="17" borderId="37" xfId="0" applyFont="1" applyFill="1" applyBorder="1"/>
    <xf numFmtId="0" fontId="3" fillId="17" borderId="16" xfId="0" applyFont="1" applyFill="1" applyBorder="1" applyAlignment="1">
      <alignment horizontal="left"/>
    </xf>
    <xf numFmtId="165" fontId="1" fillId="17" borderId="0" xfId="1" applyNumberFormat="1" applyFont="1" applyFill="1" applyBorder="1" applyAlignment="1" applyProtection="1">
      <protection locked="0"/>
    </xf>
    <xf numFmtId="0" fontId="1" fillId="19" borderId="0" xfId="0" applyFont="1" applyFill="1" applyProtection="1">
      <protection locked="0"/>
    </xf>
    <xf numFmtId="49" fontId="3" fillId="17" borderId="19" xfId="1" applyNumberFormat="1" applyFont="1" applyFill="1" applyBorder="1" applyProtection="1"/>
    <xf numFmtId="49" fontId="17" fillId="17" borderId="19" xfId="1" applyNumberFormat="1" applyFont="1" applyFill="1" applyBorder="1" applyProtection="1"/>
    <xf numFmtId="49" fontId="18" fillId="17" borderId="19" xfId="4" applyNumberFormat="1" applyFont="1" applyFill="1" applyBorder="1" applyProtection="1"/>
    <xf numFmtId="49" fontId="19" fillId="17" borderId="19" xfId="4" applyNumberFormat="1" applyFont="1" applyFill="1" applyBorder="1" applyProtection="1"/>
    <xf numFmtId="49" fontId="20" fillId="17" borderId="19" xfId="4" applyNumberFormat="1" applyFont="1" applyFill="1" applyBorder="1" applyProtection="1"/>
    <xf numFmtId="0" fontId="24" fillId="17" borderId="0" xfId="0" applyFont="1" applyFill="1"/>
    <xf numFmtId="0" fontId="21" fillId="17" borderId="0" xfId="0" applyFont="1" applyFill="1"/>
    <xf numFmtId="0" fontId="22" fillId="17" borderId="19" xfId="8" applyFont="1" applyFill="1" applyBorder="1"/>
    <xf numFmtId="0" fontId="22" fillId="17" borderId="19" xfId="0" applyFont="1" applyFill="1" applyBorder="1" applyAlignment="1">
      <alignment horizontal="left"/>
    </xf>
    <xf numFmtId="49" fontId="22" fillId="17" borderId="19" xfId="8" applyNumberFormat="1" applyFont="1" applyFill="1" applyBorder="1"/>
    <xf numFmtId="165" fontId="3" fillId="17" borderId="10" xfId="1" applyNumberFormat="1" applyFont="1" applyFill="1" applyBorder="1" applyAlignment="1" applyProtection="1"/>
    <xf numFmtId="41" fontId="3" fillId="17" borderId="28" xfId="0" applyNumberFormat="1" applyFont="1" applyFill="1" applyBorder="1"/>
    <xf numFmtId="166" fontId="46" fillId="12" borderId="19" xfId="3" applyNumberFormat="1" applyFont="1" applyFill="1" applyBorder="1" applyAlignment="1" applyProtection="1"/>
    <xf numFmtId="10" fontId="46" fillId="12" borderId="17" xfId="0" applyNumberFormat="1" applyFont="1" applyFill="1" applyBorder="1" applyAlignment="1" applyProtection="1">
      <alignment vertical="center"/>
      <protection locked="0"/>
    </xf>
    <xf numFmtId="10" fontId="46" fillId="12" borderId="49" xfId="0" applyNumberFormat="1" applyFont="1" applyFill="1" applyBorder="1" applyAlignment="1" applyProtection="1">
      <alignment vertical="center"/>
      <protection locked="0"/>
    </xf>
    <xf numFmtId="166" fontId="46" fillId="12" borderId="28" xfId="3" applyNumberFormat="1" applyFont="1" applyFill="1" applyBorder="1" applyAlignment="1" applyProtection="1">
      <alignment horizontal="left"/>
    </xf>
    <xf numFmtId="0" fontId="46" fillId="2" borderId="45" xfId="0" applyFont="1" applyFill="1" applyBorder="1" applyAlignment="1">
      <alignment vertical="center" wrapText="1"/>
    </xf>
    <xf numFmtId="0" fontId="46" fillId="2" borderId="24" xfId="0" applyFont="1" applyFill="1" applyBorder="1" applyAlignment="1">
      <alignment vertical="center" wrapText="1"/>
    </xf>
    <xf numFmtId="0" fontId="46" fillId="2" borderId="26" xfId="0" applyFont="1" applyFill="1" applyBorder="1" applyAlignment="1">
      <alignment vertical="center" wrapText="1"/>
    </xf>
    <xf numFmtId="0" fontId="46" fillId="2" borderId="0" xfId="0" applyFont="1" applyFill="1" applyAlignment="1">
      <alignment vertical="center" wrapText="1"/>
    </xf>
    <xf numFmtId="0" fontId="46" fillId="2" borderId="19" xfId="0" applyFont="1" applyFill="1" applyBorder="1" applyAlignment="1">
      <alignment vertical="center" wrapText="1"/>
    </xf>
    <xf numFmtId="41" fontId="46" fillId="0" borderId="0" xfId="0" applyNumberFormat="1" applyFont="1"/>
    <xf numFmtId="41" fontId="46" fillId="0" borderId="0" xfId="0" applyNumberFormat="1" applyFont="1" applyAlignment="1">
      <alignment horizontal="left"/>
    </xf>
    <xf numFmtId="43" fontId="46" fillId="0" borderId="0" xfId="0" applyNumberFormat="1" applyFont="1"/>
    <xf numFmtId="0" fontId="46" fillId="0" borderId="0" xfId="0" applyFont="1" applyAlignment="1">
      <alignment horizontal="center"/>
    </xf>
    <xf numFmtId="166" fontId="46" fillId="17" borderId="19" xfId="3" applyNumberFormat="1" applyFont="1" applyFill="1" applyBorder="1" applyAlignment="1" applyProtection="1">
      <alignment horizontal="left"/>
    </xf>
    <xf numFmtId="0" fontId="46" fillId="17" borderId="0" xfId="0" applyFont="1" applyFill="1" applyAlignment="1">
      <alignment vertical="center" wrapText="1"/>
    </xf>
    <xf numFmtId="0" fontId="2" fillId="17" borderId="0" xfId="0" applyFont="1" applyFill="1"/>
    <xf numFmtId="165" fontId="1" fillId="17" borderId="34" xfId="1" applyNumberFormat="1" applyFont="1" applyFill="1" applyBorder="1" applyProtection="1"/>
    <xf numFmtId="0" fontId="3" fillId="17" borderId="16" xfId="0" applyFont="1" applyFill="1" applyBorder="1"/>
    <xf numFmtId="49" fontId="3" fillId="17" borderId="0" xfId="1" applyNumberFormat="1" applyFont="1" applyFill="1" applyBorder="1" applyProtection="1"/>
    <xf numFmtId="49" fontId="17" fillId="17" borderId="0" xfId="1" applyNumberFormat="1" applyFont="1" applyFill="1" applyBorder="1" applyProtection="1"/>
    <xf numFmtId="49" fontId="18" fillId="17" borderId="0" xfId="4" applyNumberFormat="1" applyFont="1" applyFill="1" applyBorder="1" applyProtection="1"/>
    <xf numFmtId="49" fontId="19" fillId="17" borderId="0" xfId="4" applyNumberFormat="1" applyFont="1" applyFill="1" applyBorder="1" applyProtection="1"/>
    <xf numFmtId="49" fontId="20" fillId="17" borderId="0" xfId="4" applyNumberFormat="1" applyFont="1" applyFill="1" applyBorder="1" applyProtection="1"/>
    <xf numFmtId="0" fontId="21" fillId="17" borderId="0" xfId="8" applyFont="1" applyFill="1"/>
    <xf numFmtId="0" fontId="21" fillId="17" borderId="19" xfId="8" applyFont="1" applyFill="1" applyBorder="1"/>
    <xf numFmtId="0" fontId="22" fillId="17" borderId="0" xfId="0" applyFont="1" applyFill="1" applyAlignment="1">
      <alignment horizontal="left"/>
    </xf>
    <xf numFmtId="0" fontId="22" fillId="17" borderId="19" xfId="0" applyFont="1" applyFill="1" applyBorder="1"/>
    <xf numFmtId="49" fontId="22" fillId="17" borderId="0" xfId="8" applyNumberFormat="1" applyFont="1" applyFill="1"/>
    <xf numFmtId="41" fontId="3" fillId="17" borderId="10" xfId="0" applyNumberFormat="1" applyFont="1" applyFill="1" applyBorder="1"/>
    <xf numFmtId="166" fontId="1" fillId="17" borderId="0" xfId="8" applyNumberFormat="1" applyFill="1"/>
    <xf numFmtId="0" fontId="3" fillId="18" borderId="26" xfId="0" applyFont="1" applyFill="1" applyBorder="1" applyAlignment="1">
      <alignment horizontal="center"/>
    </xf>
    <xf numFmtId="0" fontId="16" fillId="18" borderId="26" xfId="0" applyFont="1" applyFill="1" applyBorder="1" applyAlignment="1">
      <alignment horizontal="center"/>
    </xf>
    <xf numFmtId="0" fontId="1" fillId="18" borderId="0" xfId="0" applyFont="1" applyFill="1"/>
    <xf numFmtId="165" fontId="3" fillId="17" borderId="45" xfId="1" applyNumberFormat="1" applyFont="1" applyFill="1" applyBorder="1" applyProtection="1"/>
    <xf numFmtId="165" fontId="3" fillId="17" borderId="44" xfId="1" applyNumberFormat="1" applyFont="1" applyFill="1" applyBorder="1" applyProtection="1"/>
    <xf numFmtId="165" fontId="3" fillId="2" borderId="45" xfId="1" applyNumberFormat="1" applyFont="1" applyFill="1" applyBorder="1" applyProtection="1"/>
    <xf numFmtId="165" fontId="3" fillId="2" borderId="44" xfId="1" applyNumberFormat="1" applyFont="1" applyFill="1" applyBorder="1" applyProtection="1"/>
    <xf numFmtId="165" fontId="24" fillId="2" borderId="44" xfId="1" applyNumberFormat="1" applyFont="1" applyFill="1" applyBorder="1" applyProtection="1"/>
    <xf numFmtId="41" fontId="24" fillId="2" borderId="24" xfId="0" applyNumberFormat="1" applyFont="1" applyFill="1" applyBorder="1"/>
    <xf numFmtId="165" fontId="36" fillId="2" borderId="45" xfId="1" applyNumberFormat="1" applyFont="1" applyFill="1" applyBorder="1" applyProtection="1"/>
    <xf numFmtId="165" fontId="36" fillId="2" borderId="44" xfId="1" applyNumberFormat="1" applyFont="1" applyFill="1" applyBorder="1" applyProtection="1"/>
    <xf numFmtId="165" fontId="24" fillId="16" borderId="61" xfId="1" applyNumberFormat="1" applyFont="1" applyFill="1" applyBorder="1" applyProtection="1"/>
    <xf numFmtId="165" fontId="1" fillId="17" borderId="40" xfId="1" applyNumberFormat="1" applyFont="1" applyFill="1" applyBorder="1" applyProtection="1"/>
    <xf numFmtId="0" fontId="36" fillId="15" borderId="19" xfId="0" applyFont="1" applyFill="1" applyBorder="1" applyAlignment="1">
      <alignment horizontal="center" vertical="center"/>
    </xf>
    <xf numFmtId="165" fontId="3" fillId="18" borderId="0" xfId="1" applyNumberFormat="1" applyFont="1" applyFill="1" applyBorder="1" applyProtection="1"/>
    <xf numFmtId="165" fontId="36" fillId="15" borderId="2" xfId="1" applyNumberFormat="1" applyFont="1" applyFill="1" applyBorder="1" applyAlignment="1" applyProtection="1">
      <alignment horizontal="center"/>
    </xf>
    <xf numFmtId="165" fontId="24" fillId="16" borderId="27" xfId="1" applyNumberFormat="1" applyFont="1" applyFill="1" applyBorder="1" applyProtection="1"/>
    <xf numFmtId="0" fontId="45" fillId="17" borderId="45" xfId="8" applyFont="1" applyFill="1" applyBorder="1" applyAlignment="1">
      <alignment vertical="center"/>
    </xf>
    <xf numFmtId="0" fontId="3" fillId="16" borderId="26" xfId="0" applyFont="1" applyFill="1" applyBorder="1" applyAlignment="1">
      <alignment horizontal="left"/>
    </xf>
    <xf numFmtId="165" fontId="36" fillId="16" borderId="0" xfId="1" applyNumberFormat="1" applyFont="1" applyFill="1" applyBorder="1" applyProtection="1"/>
    <xf numFmtId="165" fontId="3" fillId="16" borderId="0" xfId="1" applyNumberFormat="1" applyFont="1" applyFill="1" applyBorder="1" applyProtection="1"/>
    <xf numFmtId="165" fontId="41" fillId="16" borderId="19" xfId="1" applyNumberFormat="1" applyFont="1" applyFill="1" applyBorder="1" applyProtection="1"/>
    <xf numFmtId="0" fontId="3" fillId="16" borderId="19" xfId="0" applyFont="1" applyFill="1" applyBorder="1" applyAlignment="1">
      <alignment horizontal="left"/>
    </xf>
    <xf numFmtId="0" fontId="1" fillId="16" borderId="0" xfId="0" applyFont="1" applyFill="1"/>
    <xf numFmtId="0" fontId="1" fillId="16" borderId="0" xfId="0" applyFont="1" applyFill="1" applyAlignment="1">
      <alignment horizontal="left"/>
    </xf>
    <xf numFmtId="43" fontId="1" fillId="16" borderId="0" xfId="0" applyNumberFormat="1" applyFont="1" applyFill="1"/>
    <xf numFmtId="41" fontId="1" fillId="16" borderId="0" xfId="0" applyNumberFormat="1" applyFont="1" applyFill="1"/>
    <xf numFmtId="41" fontId="1" fillId="16" borderId="8" xfId="1" applyNumberFormat="1" applyFont="1" applyFill="1" applyBorder="1" applyAlignment="1" applyProtection="1">
      <alignment horizontal="center"/>
    </xf>
    <xf numFmtId="41" fontId="1" fillId="16" borderId="9" xfId="1" applyNumberFormat="1" applyFont="1" applyFill="1" applyBorder="1" applyAlignment="1" applyProtection="1">
      <alignment horizontal="center"/>
    </xf>
    <xf numFmtId="165" fontId="1" fillId="16" borderId="22" xfId="1" applyNumberFormat="1" applyFont="1" applyFill="1" applyBorder="1" applyProtection="1"/>
    <xf numFmtId="41" fontId="1" fillId="16" borderId="8" xfId="1" applyNumberFormat="1" applyFont="1" applyFill="1" applyBorder="1" applyProtection="1"/>
    <xf numFmtId="41" fontId="1" fillId="16" borderId="9" xfId="1" applyNumberFormat="1" applyFont="1" applyFill="1" applyBorder="1" applyProtection="1"/>
    <xf numFmtId="165" fontId="3" fillId="16" borderId="18" xfId="1" applyNumberFormat="1" applyFont="1" applyFill="1" applyBorder="1" applyProtection="1"/>
    <xf numFmtId="0" fontId="4" fillId="16" borderId="2" xfId="0" applyFont="1" applyFill="1" applyBorder="1" applyAlignment="1">
      <alignment horizontal="center"/>
    </xf>
    <xf numFmtId="165" fontId="1" fillId="16" borderId="40" xfId="1" applyNumberFormat="1" applyFont="1" applyFill="1" applyBorder="1" applyProtection="1"/>
    <xf numFmtId="165" fontId="1" fillId="16" borderId="2" xfId="1" applyNumberFormat="1" applyFont="1" applyFill="1" applyBorder="1" applyProtection="1"/>
    <xf numFmtId="0" fontId="4" fillId="16" borderId="20" xfId="0" applyFont="1" applyFill="1" applyBorder="1" applyAlignment="1">
      <alignment horizontal="center"/>
    </xf>
    <xf numFmtId="165" fontId="1" fillId="16" borderId="23" xfId="1" applyNumberFormat="1" applyFont="1" applyFill="1" applyBorder="1" applyProtection="1"/>
    <xf numFmtId="165" fontId="1" fillId="16" borderId="20" xfId="1" applyNumberFormat="1" applyFont="1" applyFill="1" applyBorder="1" applyProtection="1"/>
    <xf numFmtId="0" fontId="3" fillId="16" borderId="63" xfId="0" applyFont="1" applyFill="1" applyBorder="1"/>
    <xf numFmtId="0" fontId="3" fillId="16" borderId="63" xfId="0" applyFont="1" applyFill="1" applyBorder="1" applyAlignment="1">
      <alignment horizontal="center"/>
    </xf>
    <xf numFmtId="0" fontId="3" fillId="16" borderId="64" xfId="0" applyFont="1" applyFill="1" applyBorder="1"/>
    <xf numFmtId="0" fontId="1" fillId="16" borderId="65" xfId="0" applyFont="1" applyFill="1" applyBorder="1"/>
    <xf numFmtId="0" fontId="3" fillId="16" borderId="0" xfId="0" applyFont="1" applyFill="1"/>
    <xf numFmtId="0" fontId="3" fillId="16" borderId="0" xfId="0" applyFont="1" applyFill="1" applyAlignment="1">
      <alignment horizontal="right"/>
    </xf>
    <xf numFmtId="166" fontId="3" fillId="16" borderId="0" xfId="3" applyNumberFormat="1" applyFont="1" applyFill="1" applyBorder="1" applyAlignment="1" applyProtection="1"/>
    <xf numFmtId="166" fontId="3" fillId="16" borderId="0" xfId="3" applyNumberFormat="1" applyFont="1" applyFill="1" applyBorder="1" applyAlignment="1" applyProtection="1">
      <alignment horizontal="right"/>
    </xf>
    <xf numFmtId="44" fontId="36" fillId="16" borderId="0" xfId="3" applyFont="1" applyFill="1" applyBorder="1" applyAlignment="1" applyProtection="1"/>
    <xf numFmtId="0" fontId="3" fillId="16" borderId="66" xfId="0" applyFont="1" applyFill="1" applyBorder="1" applyAlignment="1">
      <alignment horizontal="left"/>
    </xf>
    <xf numFmtId="0" fontId="3" fillId="16" borderId="65" xfId="0" applyFont="1" applyFill="1" applyBorder="1"/>
    <xf numFmtId="166" fontId="3" fillId="16" borderId="2" xfId="3" applyNumberFormat="1" applyFont="1" applyFill="1" applyBorder="1" applyAlignment="1" applyProtection="1">
      <alignment horizontal="right"/>
    </xf>
    <xf numFmtId="0" fontId="57" fillId="16" borderId="3" xfId="0" applyFont="1" applyFill="1" applyBorder="1"/>
    <xf numFmtId="0" fontId="56" fillId="16" borderId="3" xfId="0" applyFont="1" applyFill="1" applyBorder="1" applyAlignment="1">
      <alignment horizontal="center"/>
    </xf>
    <xf numFmtId="1" fontId="56" fillId="16" borderId="3" xfId="0" applyNumberFormat="1" applyFont="1" applyFill="1" applyBorder="1" applyAlignment="1">
      <alignment horizontal="center"/>
    </xf>
    <xf numFmtId="0" fontId="57" fillId="16" borderId="0" xfId="0" applyFont="1" applyFill="1"/>
    <xf numFmtId="0" fontId="56" fillId="16" borderId="7" xfId="0" applyFont="1" applyFill="1" applyBorder="1" applyAlignment="1">
      <alignment horizontal="center"/>
    </xf>
    <xf numFmtId="165" fontId="36" fillId="16" borderId="0" xfId="1" applyNumberFormat="1" applyFont="1" applyFill="1" applyBorder="1" applyAlignment="1" applyProtection="1"/>
    <xf numFmtId="0" fontId="35" fillId="16" borderId="66" xfId="0" applyFont="1" applyFill="1" applyBorder="1"/>
    <xf numFmtId="0" fontId="1" fillId="16" borderId="67" xfId="0" applyFont="1" applyFill="1" applyBorder="1"/>
    <xf numFmtId="0" fontId="3" fillId="16" borderId="68" xfId="0" applyFont="1" applyFill="1" applyBorder="1"/>
    <xf numFmtId="0" fontId="56" fillId="16" borderId="68" xfId="0" applyFont="1" applyFill="1" applyBorder="1"/>
    <xf numFmtId="42" fontId="56" fillId="16" borderId="68" xfId="0" applyNumberFormat="1" applyFont="1" applyFill="1" applyBorder="1" applyAlignment="1">
      <alignment horizontal="center"/>
    </xf>
    <xf numFmtId="42" fontId="56" fillId="16" borderId="70" xfId="0" applyNumberFormat="1" applyFont="1" applyFill="1" applyBorder="1" applyAlignment="1">
      <alignment horizontal="center"/>
    </xf>
    <xf numFmtId="165" fontId="36" fillId="16" borderId="68" xfId="1" applyNumberFormat="1" applyFont="1" applyFill="1" applyBorder="1" applyAlignment="1" applyProtection="1"/>
    <xf numFmtId="0" fontId="3" fillId="16" borderId="71" xfId="0" applyFont="1" applyFill="1" applyBorder="1"/>
    <xf numFmtId="165" fontId="1" fillId="16" borderId="10" xfId="1" applyNumberFormat="1" applyFont="1" applyFill="1" applyBorder="1" applyProtection="1"/>
    <xf numFmtId="165" fontId="3" fillId="16" borderId="28" xfId="1" applyNumberFormat="1" applyFont="1" applyFill="1" applyBorder="1" applyProtection="1"/>
    <xf numFmtId="165" fontId="3" fillId="16" borderId="17" xfId="1" applyNumberFormat="1" applyFont="1" applyFill="1" applyBorder="1" applyProtection="1"/>
    <xf numFmtId="165" fontId="3" fillId="16" borderId="22" xfId="1" applyNumberFormat="1" applyFont="1" applyFill="1" applyBorder="1" applyProtection="1"/>
    <xf numFmtId="166" fontId="3" fillId="16" borderId="9" xfId="3" applyNumberFormat="1" applyFont="1" applyFill="1" applyBorder="1" applyAlignment="1" applyProtection="1"/>
    <xf numFmtId="166" fontId="3" fillId="16" borderId="13" xfId="3" applyNumberFormat="1" applyFont="1" applyFill="1" applyBorder="1" applyAlignment="1" applyProtection="1"/>
    <xf numFmtId="166" fontId="3" fillId="16" borderId="11" xfId="3" applyNumberFormat="1" applyFont="1" applyFill="1" applyBorder="1" applyAlignment="1" applyProtection="1"/>
    <xf numFmtId="0" fontId="36" fillId="16" borderId="0" xfId="0" applyFont="1" applyFill="1"/>
    <xf numFmtId="166" fontId="36" fillId="16" borderId="9" xfId="3" applyNumberFormat="1" applyFont="1" applyFill="1" applyBorder="1" applyAlignment="1" applyProtection="1">
      <alignment vertical="center"/>
    </xf>
    <xf numFmtId="166" fontId="36" fillId="16" borderId="0" xfId="3" applyNumberFormat="1" applyFont="1" applyFill="1" applyBorder="1" applyAlignment="1" applyProtection="1">
      <alignment vertical="center"/>
    </xf>
    <xf numFmtId="166" fontId="36" fillId="16" borderId="0" xfId="3" applyNumberFormat="1" applyFont="1" applyFill="1" applyBorder="1" applyProtection="1"/>
    <xf numFmtId="166" fontId="36" fillId="16" borderId="0" xfId="3" applyNumberFormat="1" applyFont="1" applyFill="1" applyBorder="1" applyAlignment="1" applyProtection="1"/>
    <xf numFmtId="166" fontId="36" fillId="16" borderId="13" xfId="3" applyNumberFormat="1" applyFont="1" applyFill="1" applyBorder="1" applyAlignment="1" applyProtection="1"/>
    <xf numFmtId="166" fontId="36" fillId="16" borderId="11" xfId="3" applyNumberFormat="1" applyFont="1" applyFill="1" applyBorder="1" applyAlignment="1" applyProtection="1"/>
    <xf numFmtId="166" fontId="36" fillId="16" borderId="2" xfId="3" applyNumberFormat="1" applyFont="1" applyFill="1" applyBorder="1" applyAlignment="1" applyProtection="1"/>
    <xf numFmtId="166" fontId="36" fillId="16" borderId="2" xfId="3" applyNumberFormat="1" applyFont="1" applyFill="1" applyBorder="1" applyProtection="1"/>
    <xf numFmtId="0" fontId="36" fillId="16" borderId="73" xfId="0" applyFont="1" applyFill="1" applyBorder="1" applyAlignment="1">
      <alignment horizontal="center"/>
    </xf>
    <xf numFmtId="0" fontId="36" fillId="16" borderId="73" xfId="0" applyFont="1" applyFill="1" applyBorder="1"/>
    <xf numFmtId="0" fontId="3" fillId="16" borderId="73" xfId="0" applyFont="1" applyFill="1" applyBorder="1" applyAlignment="1">
      <alignment horizontal="center"/>
    </xf>
    <xf numFmtId="0" fontId="36" fillId="16" borderId="74" xfId="0" applyFont="1" applyFill="1" applyBorder="1" applyAlignment="1">
      <alignment horizontal="center"/>
    </xf>
    <xf numFmtId="0" fontId="36" fillId="16" borderId="75" xfId="0" applyFont="1" applyFill="1" applyBorder="1"/>
    <xf numFmtId="166" fontId="36" fillId="16" borderId="0" xfId="3" applyNumberFormat="1" applyFont="1" applyFill="1" applyBorder="1" applyAlignment="1" applyProtection="1">
      <alignment horizontal="left" indent="1"/>
    </xf>
    <xf numFmtId="0" fontId="3" fillId="16" borderId="76" xfId="0" applyFont="1" applyFill="1" applyBorder="1" applyAlignment="1">
      <alignment horizontal="left"/>
    </xf>
    <xf numFmtId="0" fontId="37" fillId="16" borderId="75" xfId="0" applyFont="1" applyFill="1" applyBorder="1"/>
    <xf numFmtId="0" fontId="37" fillId="16" borderId="0" xfId="0" applyFont="1" applyFill="1"/>
    <xf numFmtId="0" fontId="1" fillId="16" borderId="75" xfId="0" applyFont="1" applyFill="1" applyBorder="1"/>
    <xf numFmtId="0" fontId="24" fillId="16" borderId="0" xfId="0" applyFont="1" applyFill="1" applyAlignment="1">
      <alignment horizontal="left"/>
    </xf>
    <xf numFmtId="43" fontId="24" fillId="16" borderId="76" xfId="0" applyNumberFormat="1" applyFont="1" applyFill="1" applyBorder="1"/>
    <xf numFmtId="0" fontId="1" fillId="16" borderId="77" xfId="0" applyFont="1" applyFill="1" applyBorder="1"/>
    <xf numFmtId="0" fontId="24" fillId="16" borderId="78" xfId="0" applyFont="1" applyFill="1" applyBorder="1"/>
    <xf numFmtId="42" fontId="56" fillId="16" borderId="78" xfId="0" applyNumberFormat="1" applyFont="1" applyFill="1" applyBorder="1" applyAlignment="1">
      <alignment horizontal="center"/>
    </xf>
    <xf numFmtId="42" fontId="56" fillId="16" borderId="80" xfId="0" applyNumberFormat="1" applyFont="1" applyFill="1" applyBorder="1" applyAlignment="1">
      <alignment horizontal="center"/>
    </xf>
    <xf numFmtId="0" fontId="24" fillId="16" borderId="81" xfId="0" applyFont="1" applyFill="1" applyBorder="1" applyAlignment="1">
      <alignment horizontal="left"/>
    </xf>
    <xf numFmtId="0" fontId="3" fillId="16" borderId="73" xfId="0" applyFont="1" applyFill="1" applyBorder="1"/>
    <xf numFmtId="41" fontId="46" fillId="16" borderId="74" xfId="0" applyNumberFormat="1" applyFont="1" applyFill="1" applyBorder="1"/>
    <xf numFmtId="166" fontId="3" fillId="16" borderId="0" xfId="3" applyNumberFormat="1" applyFont="1" applyFill="1" applyBorder="1" applyAlignment="1" applyProtection="1">
      <alignment horizontal="left" indent="4"/>
    </xf>
    <xf numFmtId="42" fontId="3" fillId="16" borderId="0" xfId="0" applyNumberFormat="1" applyFont="1" applyFill="1"/>
    <xf numFmtId="0" fontId="3" fillId="16" borderId="0" xfId="0" applyFont="1" applyFill="1" applyAlignment="1">
      <alignment horizontal="left"/>
    </xf>
    <xf numFmtId="0" fontId="1" fillId="16" borderId="76" xfId="0" applyFont="1" applyFill="1" applyBorder="1"/>
    <xf numFmtId="42" fontId="55" fillId="16" borderId="0" xfId="3" applyNumberFormat="1" applyFont="1" applyFill="1" applyBorder="1" applyAlignment="1" applyProtection="1"/>
    <xf numFmtId="0" fontId="3" fillId="16" borderId="75" xfId="0" applyFont="1" applyFill="1" applyBorder="1"/>
    <xf numFmtId="42" fontId="3" fillId="16" borderId="0" xfId="3" applyNumberFormat="1" applyFont="1" applyFill="1" applyBorder="1" applyAlignment="1" applyProtection="1"/>
    <xf numFmtId="0" fontId="3" fillId="16" borderId="76" xfId="0" applyFont="1" applyFill="1" applyBorder="1"/>
    <xf numFmtId="0" fontId="47" fillId="16" borderId="75" xfId="0" applyFont="1" applyFill="1" applyBorder="1"/>
    <xf numFmtId="0" fontId="47" fillId="16" borderId="0" xfId="0" applyFont="1" applyFill="1"/>
    <xf numFmtId="0" fontId="46" fillId="16" borderId="0" xfId="0" applyFont="1" applyFill="1" applyAlignment="1">
      <alignment horizontal="left"/>
    </xf>
    <xf numFmtId="0" fontId="54" fillId="16" borderId="0" xfId="0" applyFont="1" applyFill="1"/>
    <xf numFmtId="0" fontId="47" fillId="16" borderId="76" xfId="0" applyFont="1" applyFill="1" applyBorder="1"/>
    <xf numFmtId="0" fontId="47" fillId="16" borderId="77" xfId="0" applyFont="1" applyFill="1" applyBorder="1"/>
    <xf numFmtId="0" fontId="46" fillId="16" borderId="78" xfId="0" applyFont="1" applyFill="1" applyBorder="1"/>
    <xf numFmtId="0" fontId="56" fillId="16" borderId="78" xfId="0" applyFont="1" applyFill="1" applyBorder="1"/>
    <xf numFmtId="42" fontId="56" fillId="16" borderId="78" xfId="0" applyNumberFormat="1" applyFont="1" applyFill="1" applyBorder="1"/>
    <xf numFmtId="42" fontId="56" fillId="16" borderId="80" xfId="0" applyNumberFormat="1" applyFont="1" applyFill="1" applyBorder="1"/>
    <xf numFmtId="0" fontId="47" fillId="16" borderId="78" xfId="0" applyFont="1" applyFill="1" applyBorder="1" applyAlignment="1">
      <alignment horizontal="left"/>
    </xf>
    <xf numFmtId="0" fontId="46" fillId="16" borderId="81" xfId="0" applyFont="1" applyFill="1" applyBorder="1"/>
    <xf numFmtId="0" fontId="56" fillId="16" borderId="4" xfId="0" applyFont="1" applyFill="1" applyBorder="1"/>
    <xf numFmtId="0" fontId="56" fillId="16" borderId="3" xfId="0" applyFont="1" applyFill="1" applyBorder="1"/>
    <xf numFmtId="0" fontId="1" fillId="16" borderId="73" xfId="0" applyFont="1" applyFill="1" applyBorder="1"/>
    <xf numFmtId="0" fontId="3" fillId="16" borderId="74" xfId="0" applyFont="1" applyFill="1" applyBorder="1"/>
    <xf numFmtId="0" fontId="47" fillId="16" borderId="0" xfId="0" applyFont="1" applyFill="1" applyAlignment="1">
      <alignment horizontal="left"/>
    </xf>
    <xf numFmtId="43" fontId="47" fillId="16" borderId="0" xfId="0" applyNumberFormat="1" applyFont="1" applyFill="1"/>
    <xf numFmtId="41" fontId="47" fillId="16" borderId="0" xfId="0" applyNumberFormat="1" applyFont="1" applyFill="1"/>
    <xf numFmtId="0" fontId="47" fillId="16" borderId="78" xfId="0" applyFont="1" applyFill="1" applyBorder="1"/>
    <xf numFmtId="0" fontId="56" fillId="16" borderId="79" xfId="0" applyFont="1" applyFill="1" applyBorder="1"/>
    <xf numFmtId="43" fontId="47" fillId="16" borderId="78" xfId="0" applyNumberFormat="1" applyFont="1" applyFill="1" applyBorder="1"/>
    <xf numFmtId="41" fontId="47" fillId="16" borderId="81" xfId="0" applyNumberFormat="1" applyFont="1" applyFill="1" applyBorder="1"/>
    <xf numFmtId="0" fontId="46" fillId="16" borderId="72" xfId="0" applyFont="1" applyFill="1" applyBorder="1"/>
    <xf numFmtId="0" fontId="46" fillId="16" borderId="62" xfId="0" applyFont="1" applyFill="1" applyBorder="1"/>
    <xf numFmtId="0" fontId="3" fillId="17" borderId="82" xfId="0" applyFont="1" applyFill="1" applyBorder="1" applyAlignment="1">
      <alignment horizontal="left"/>
    </xf>
    <xf numFmtId="0" fontId="3" fillId="17" borderId="82" xfId="0" applyFont="1" applyFill="1" applyBorder="1" applyAlignment="1">
      <alignment vertical="center"/>
    </xf>
    <xf numFmtId="0" fontId="1" fillId="17" borderId="14" xfId="0" applyFont="1" applyFill="1" applyBorder="1" applyAlignment="1">
      <alignment horizontal="left"/>
    </xf>
    <xf numFmtId="10" fontId="1" fillId="0" borderId="0" xfId="9" applyNumberFormat="1" applyFont="1"/>
    <xf numFmtId="166" fontId="46" fillId="12" borderId="19" xfId="3" applyNumberFormat="1" applyFont="1" applyFill="1" applyBorder="1" applyAlignment="1" applyProtection="1">
      <protection locked="0"/>
    </xf>
    <xf numFmtId="165" fontId="24" fillId="12" borderId="1" xfId="1" applyNumberFormat="1" applyFont="1" applyFill="1" applyBorder="1" applyProtection="1"/>
    <xf numFmtId="14" fontId="24" fillId="2" borderId="24" xfId="0" applyNumberFormat="1" applyFont="1" applyFill="1" applyBorder="1"/>
    <xf numFmtId="0" fontId="3" fillId="0" borderId="45" xfId="0" applyFont="1" applyBorder="1"/>
    <xf numFmtId="0" fontId="1" fillId="0" borderId="24" xfId="0" applyFont="1" applyBorder="1" applyAlignment="1">
      <alignment horizontal="left"/>
    </xf>
    <xf numFmtId="43" fontId="1" fillId="0" borderId="24" xfId="0" applyNumberFormat="1" applyFont="1" applyBorder="1"/>
    <xf numFmtId="41" fontId="1" fillId="0" borderId="24" xfId="0" applyNumberFormat="1" applyFont="1" applyBorder="1"/>
    <xf numFmtId="0" fontId="1" fillId="0" borderId="24" xfId="0" applyFont="1" applyBorder="1"/>
    <xf numFmtId="0" fontId="1" fillId="0" borderId="44" xfId="0" applyFont="1" applyBorder="1"/>
    <xf numFmtId="165" fontId="1" fillId="12" borderId="26" xfId="1" applyNumberFormat="1" applyFont="1" applyFill="1" applyBorder="1"/>
    <xf numFmtId="0" fontId="1" fillId="0" borderId="19" xfId="0" applyFont="1" applyBorder="1"/>
    <xf numFmtId="165" fontId="1" fillId="18" borderId="26" xfId="1" applyNumberFormat="1" applyFont="1" applyFill="1" applyBorder="1"/>
    <xf numFmtId="0" fontId="1" fillId="0" borderId="10" xfId="0" applyFont="1" applyBorder="1"/>
    <xf numFmtId="43" fontId="1" fillId="0" borderId="10" xfId="0" applyNumberFormat="1" applyFont="1" applyBorder="1"/>
    <xf numFmtId="41" fontId="1" fillId="0" borderId="10" xfId="0" applyNumberFormat="1" applyFont="1" applyBorder="1"/>
    <xf numFmtId="0" fontId="1" fillId="0" borderId="28" xfId="0" applyFont="1" applyBorder="1"/>
    <xf numFmtId="10" fontId="1" fillId="0" borderId="36" xfId="9" applyNumberFormat="1" applyFont="1" applyBorder="1"/>
    <xf numFmtId="0" fontId="46" fillId="17" borderId="41" xfId="0" applyFont="1" applyFill="1" applyBorder="1" applyAlignment="1">
      <alignment horizontal="left" vertical="center"/>
    </xf>
    <xf numFmtId="0" fontId="41" fillId="18" borderId="10" xfId="0" applyFont="1" applyFill="1" applyBorder="1" applyAlignment="1">
      <alignment horizontal="center"/>
    </xf>
    <xf numFmtId="166" fontId="46" fillId="17" borderId="0" xfId="3" applyNumberFormat="1" applyFont="1" applyFill="1" applyBorder="1" applyAlignment="1" applyProtection="1"/>
    <xf numFmtId="166" fontId="46" fillId="12" borderId="10" xfId="3" applyNumberFormat="1" applyFont="1" applyFill="1" applyBorder="1" applyAlignment="1" applyProtection="1"/>
    <xf numFmtId="166" fontId="46" fillId="12" borderId="28" xfId="3" applyNumberFormat="1" applyFont="1" applyFill="1" applyBorder="1" applyAlignment="1" applyProtection="1"/>
    <xf numFmtId="165" fontId="3" fillId="2" borderId="0" xfId="1" applyNumberFormat="1" applyFont="1" applyFill="1" applyBorder="1" applyAlignment="1" applyProtection="1">
      <alignment horizontal="center"/>
    </xf>
    <xf numFmtId="10" fontId="24" fillId="12" borderId="33" xfId="0" applyNumberFormat="1" applyFont="1" applyFill="1" applyBorder="1" applyProtection="1">
      <protection locked="0"/>
    </xf>
    <xf numFmtId="10" fontId="24" fillId="12" borderId="35" xfId="0" applyNumberFormat="1" applyFont="1" applyFill="1" applyBorder="1" applyProtection="1">
      <protection locked="0"/>
    </xf>
    <xf numFmtId="164" fontId="24" fillId="12" borderId="1" xfId="0" applyNumberFormat="1" applyFont="1" applyFill="1" applyBorder="1" applyProtection="1">
      <protection locked="0"/>
    </xf>
    <xf numFmtId="165" fontId="24" fillId="15" borderId="0" xfId="1" applyNumberFormat="1" applyFont="1" applyFill="1" applyBorder="1" applyProtection="1"/>
    <xf numFmtId="165" fontId="24" fillId="15" borderId="0" xfId="1" applyNumberFormat="1" applyFont="1" applyFill="1" applyBorder="1" applyAlignment="1" applyProtection="1"/>
    <xf numFmtId="165" fontId="36" fillId="15" borderId="10" xfId="1" applyNumberFormat="1" applyFont="1" applyFill="1" applyBorder="1" applyProtection="1"/>
    <xf numFmtId="0" fontId="45" fillId="2" borderId="24" xfId="8" applyFont="1" applyFill="1" applyBorder="1"/>
    <xf numFmtId="0" fontId="45" fillId="2" borderId="44" xfId="8" applyFont="1" applyFill="1" applyBorder="1"/>
    <xf numFmtId="0" fontId="45" fillId="2" borderId="24" xfId="8" applyFont="1" applyFill="1" applyBorder="1" applyAlignment="1">
      <alignment vertical="center"/>
    </xf>
    <xf numFmtId="0" fontId="45" fillId="2" borderId="44" xfId="8" applyFont="1" applyFill="1" applyBorder="1" applyAlignment="1">
      <alignment vertical="center"/>
    </xf>
    <xf numFmtId="0" fontId="46" fillId="2" borderId="30" xfId="0" applyFont="1" applyFill="1" applyBorder="1" applyAlignment="1">
      <alignment vertical="center"/>
    </xf>
    <xf numFmtId="0" fontId="45" fillId="2" borderId="24" xfId="8" applyFont="1" applyFill="1" applyBorder="1" applyAlignment="1">
      <alignment horizontal="center" vertical="center"/>
    </xf>
    <xf numFmtId="0" fontId="45" fillId="17" borderId="0" xfId="8" applyFont="1" applyFill="1" applyAlignment="1">
      <alignment horizontal="center" vertical="center"/>
    </xf>
    <xf numFmtId="10" fontId="46" fillId="17" borderId="0" xfId="8" applyNumberFormat="1" applyFont="1" applyFill="1"/>
    <xf numFmtId="10" fontId="46" fillId="17" borderId="0" xfId="0" applyNumberFormat="1" applyFont="1" applyFill="1"/>
    <xf numFmtId="9" fontId="24" fillId="2" borderId="5" xfId="0" applyNumberFormat="1" applyFont="1" applyFill="1" applyBorder="1" applyProtection="1">
      <protection locked="0"/>
    </xf>
    <xf numFmtId="165" fontId="24" fillId="2" borderId="37" xfId="1" applyNumberFormat="1" applyFont="1" applyFill="1" applyBorder="1" applyProtection="1">
      <protection locked="0"/>
    </xf>
    <xf numFmtId="165" fontId="24" fillId="2" borderId="0" xfId="1" applyNumberFormat="1" applyFont="1" applyFill="1" applyBorder="1" applyProtection="1">
      <protection locked="0"/>
    </xf>
    <xf numFmtId="165" fontId="36" fillId="2" borderId="16" xfId="1" applyNumberFormat="1" applyFont="1" applyFill="1" applyBorder="1" applyProtection="1"/>
    <xf numFmtId="165" fontId="3" fillId="2" borderId="0" xfId="1" applyNumberFormat="1" applyFont="1" applyFill="1" applyBorder="1" applyProtection="1"/>
    <xf numFmtId="41" fontId="24" fillId="2" borderId="0" xfId="1" applyNumberFormat="1" applyFont="1" applyFill="1" applyBorder="1" applyAlignment="1" applyProtection="1">
      <alignment horizontal="center"/>
    </xf>
    <xf numFmtId="165" fontId="24" fillId="2" borderId="16" xfId="1" applyNumberFormat="1" applyFont="1" applyFill="1" applyBorder="1" applyProtection="1"/>
    <xf numFmtId="165" fontId="3" fillId="2" borderId="15" xfId="1" applyNumberFormat="1" applyFont="1" applyFill="1" applyBorder="1" applyAlignment="1" applyProtection="1">
      <alignment horizontal="center"/>
    </xf>
    <xf numFmtId="0" fontId="1" fillId="2" borderId="0" xfId="0" applyFont="1" applyFill="1"/>
    <xf numFmtId="165" fontId="24" fillId="2" borderId="2" xfId="1" applyNumberFormat="1" applyFont="1" applyFill="1" applyBorder="1" applyProtection="1"/>
    <xf numFmtId="165" fontId="24" fillId="2" borderId="20" xfId="1" applyNumberFormat="1" applyFont="1" applyFill="1" applyBorder="1" applyProtection="1"/>
    <xf numFmtId="0" fontId="1" fillId="17" borderId="2" xfId="0" applyFont="1" applyFill="1" applyBorder="1"/>
    <xf numFmtId="0" fontId="1" fillId="2" borderId="2" xfId="0" applyFont="1" applyFill="1" applyBorder="1"/>
    <xf numFmtId="0" fontId="1" fillId="17" borderId="20" xfId="0" applyFont="1" applyFill="1" applyBorder="1"/>
    <xf numFmtId="0" fontId="1" fillId="2" borderId="20" xfId="0" applyFont="1" applyFill="1" applyBorder="1"/>
    <xf numFmtId="0" fontId="38" fillId="17" borderId="2" xfId="0" applyFont="1" applyFill="1" applyBorder="1" applyAlignment="1">
      <alignment horizontal="right"/>
    </xf>
    <xf numFmtId="0" fontId="59" fillId="17" borderId="0" xfId="0" applyFont="1" applyFill="1" applyAlignment="1">
      <alignment horizontal="right" vertical="center"/>
    </xf>
    <xf numFmtId="0" fontId="38" fillId="17" borderId="0" xfId="0" applyFont="1" applyFill="1" applyAlignment="1">
      <alignment horizontal="right"/>
    </xf>
    <xf numFmtId="0" fontId="59" fillId="17" borderId="0" xfId="0" applyFont="1" applyFill="1" applyAlignment="1">
      <alignment horizontal="right"/>
    </xf>
    <xf numFmtId="0" fontId="38" fillId="17" borderId="20" xfId="0" applyFont="1" applyFill="1" applyBorder="1" applyAlignment="1">
      <alignment horizontal="right"/>
    </xf>
    <xf numFmtId="165" fontId="36" fillId="2" borderId="21" xfId="1" applyNumberFormat="1" applyFont="1" applyFill="1" applyBorder="1" applyProtection="1"/>
    <xf numFmtId="165" fontId="1" fillId="18" borderId="0" xfId="1" applyNumberFormat="1" applyFont="1" applyFill="1" applyBorder="1" applyProtection="1"/>
    <xf numFmtId="165" fontId="1" fillId="18" borderId="36" xfId="1" applyNumberFormat="1" applyFont="1" applyFill="1" applyBorder="1" applyProtection="1"/>
    <xf numFmtId="43" fontId="24" fillId="18" borderId="19" xfId="1" applyFont="1" applyFill="1" applyBorder="1" applyProtection="1"/>
    <xf numFmtId="43" fontId="24" fillId="18" borderId="28" xfId="1" applyFont="1" applyFill="1" applyBorder="1" applyProtection="1"/>
    <xf numFmtId="43" fontId="24" fillId="18" borderId="0" xfId="1" applyFont="1" applyFill="1" applyBorder="1" applyProtection="1"/>
    <xf numFmtId="43" fontId="24" fillId="18" borderId="10" xfId="1" applyFont="1" applyFill="1" applyBorder="1" applyProtection="1"/>
    <xf numFmtId="41" fontId="1" fillId="2" borderId="0" xfId="1" applyNumberFormat="1" applyFont="1" applyFill="1" applyBorder="1" applyAlignment="1" applyProtection="1">
      <alignment horizontal="center"/>
    </xf>
    <xf numFmtId="165" fontId="1" fillId="2" borderId="16" xfId="1" applyNumberFormat="1" applyFont="1" applyFill="1" applyBorder="1" applyProtection="1"/>
    <xf numFmtId="165" fontId="3" fillId="2" borderId="16" xfId="1" applyNumberFormat="1" applyFont="1" applyFill="1" applyBorder="1" applyProtection="1"/>
    <xf numFmtId="0" fontId="1" fillId="2" borderId="15" xfId="0" applyFont="1" applyFill="1" applyBorder="1"/>
    <xf numFmtId="165" fontId="1" fillId="2" borderId="2" xfId="1" applyNumberFormat="1" applyFont="1" applyFill="1" applyBorder="1" applyProtection="1"/>
    <xf numFmtId="0" fontId="3" fillId="2" borderId="0" xfId="0" applyFont="1" applyFill="1" applyAlignment="1">
      <alignment vertical="center"/>
    </xf>
    <xf numFmtId="0" fontId="3" fillId="2" borderId="0" xfId="0" applyFont="1" applyFill="1"/>
    <xf numFmtId="0" fontId="22" fillId="2" borderId="0" xfId="0" applyFont="1" applyFill="1"/>
    <xf numFmtId="0" fontId="60" fillId="2" borderId="0" xfId="0" applyFont="1" applyFill="1" applyAlignment="1">
      <alignment horizontal="right"/>
    </xf>
    <xf numFmtId="165" fontId="1" fillId="2" borderId="20" xfId="1" applyNumberFormat="1" applyFont="1" applyFill="1" applyBorder="1" applyProtection="1"/>
    <xf numFmtId="165" fontId="1" fillId="2" borderId="44" xfId="1" applyNumberFormat="1" applyFont="1" applyFill="1" applyBorder="1" applyProtection="1"/>
    <xf numFmtId="0" fontId="45" fillId="17" borderId="45" xfId="8" applyFont="1" applyFill="1" applyBorder="1"/>
    <xf numFmtId="165" fontId="36" fillId="2" borderId="24" xfId="1" applyNumberFormat="1" applyFont="1" applyFill="1" applyBorder="1" applyProtection="1"/>
    <xf numFmtId="165" fontId="24" fillId="2" borderId="24" xfId="1" applyNumberFormat="1" applyFont="1" applyFill="1" applyBorder="1" applyProtection="1"/>
    <xf numFmtId="165" fontId="1" fillId="18" borderId="10" xfId="1" applyNumberFormat="1" applyFont="1" applyFill="1" applyBorder="1" applyProtection="1"/>
    <xf numFmtId="165" fontId="3" fillId="2" borderId="24" xfId="1" applyNumberFormat="1" applyFont="1" applyFill="1" applyBorder="1" applyProtection="1"/>
    <xf numFmtId="0" fontId="46" fillId="17" borderId="30" xfId="0" applyFont="1" applyFill="1" applyBorder="1" applyAlignment="1">
      <alignment horizontal="center" vertical="center"/>
    </xf>
    <xf numFmtId="165" fontId="24" fillId="2" borderId="37" xfId="1" applyNumberFormat="1" applyFont="1" applyFill="1" applyBorder="1" applyAlignment="1" applyProtection="1">
      <alignment vertical="top"/>
      <protection locked="0"/>
    </xf>
    <xf numFmtId="165" fontId="1" fillId="2" borderId="48" xfId="1" applyNumberFormat="1" applyFont="1" applyFill="1" applyBorder="1" applyProtection="1"/>
    <xf numFmtId="165" fontId="3" fillId="17" borderId="24" xfId="1" applyNumberFormat="1" applyFont="1" applyFill="1" applyBorder="1" applyProtection="1"/>
    <xf numFmtId="0" fontId="61" fillId="0" borderId="0" xfId="0" applyFont="1"/>
    <xf numFmtId="165" fontId="24" fillId="2" borderId="2" xfId="1" applyNumberFormat="1" applyFont="1" applyFill="1" applyBorder="1" applyProtection="1">
      <protection locked="0"/>
    </xf>
    <xf numFmtId="165" fontId="24" fillId="2" borderId="32" xfId="1" applyNumberFormat="1" applyFont="1" applyFill="1" applyBorder="1" applyProtection="1">
      <protection locked="0"/>
    </xf>
    <xf numFmtId="0" fontId="29" fillId="2" borderId="0" xfId="0" applyFont="1" applyFill="1"/>
    <xf numFmtId="0" fontId="5" fillId="2" borderId="0" xfId="0" applyFont="1" applyFill="1" applyAlignment="1">
      <alignment horizontal="center"/>
    </xf>
    <xf numFmtId="0" fontId="2" fillId="2" borderId="0" xfId="0" applyFont="1" applyFill="1"/>
    <xf numFmtId="0" fontId="2" fillId="2" borderId="19" xfId="0" applyFont="1" applyFill="1" applyBorder="1"/>
    <xf numFmtId="41" fontId="1" fillId="2" borderId="0" xfId="0" applyNumberFormat="1" applyFont="1" applyFill="1"/>
    <xf numFmtId="41" fontId="1" fillId="2" borderId="19" xfId="0" applyNumberFormat="1" applyFont="1" applyFill="1" applyBorder="1"/>
    <xf numFmtId="0" fontId="1" fillId="2" borderId="0" xfId="0" applyFont="1" applyFill="1" applyAlignment="1">
      <alignment horizontal="left"/>
    </xf>
    <xf numFmtId="165" fontId="1" fillId="12" borderId="1" xfId="1" applyNumberFormat="1" applyFont="1" applyFill="1" applyBorder="1" applyProtection="1">
      <protection locked="0"/>
    </xf>
    <xf numFmtId="0" fontId="1" fillId="2" borderId="26" xfId="0" applyFont="1" applyFill="1" applyBorder="1" applyAlignment="1">
      <alignment horizontal="left"/>
    </xf>
    <xf numFmtId="165" fontId="36" fillId="15" borderId="10" xfId="1" applyNumberFormat="1" applyFont="1" applyFill="1" applyBorder="1" applyAlignment="1" applyProtection="1">
      <alignment horizontal="right"/>
    </xf>
    <xf numFmtId="165" fontId="41" fillId="14" borderId="28" xfId="1" applyNumberFormat="1" applyFont="1" applyFill="1" applyBorder="1" applyAlignment="1" applyProtection="1">
      <alignment horizontal="right"/>
    </xf>
    <xf numFmtId="165" fontId="36" fillId="15" borderId="0" xfId="1" applyNumberFormat="1" applyFont="1" applyFill="1" applyBorder="1" applyAlignment="1" applyProtection="1">
      <alignment horizontal="right"/>
    </xf>
    <xf numFmtId="165" fontId="41" fillId="14" borderId="6" xfId="1" applyNumberFormat="1" applyFont="1" applyFill="1" applyBorder="1" applyAlignment="1" applyProtection="1">
      <alignment horizontal="right"/>
    </xf>
    <xf numFmtId="0" fontId="36" fillId="15" borderId="36" xfId="0" applyFont="1" applyFill="1" applyBorder="1" applyAlignment="1">
      <alignment horizontal="right"/>
    </xf>
    <xf numFmtId="0" fontId="41" fillId="14" borderId="10" xfId="0" applyFont="1" applyFill="1" applyBorder="1" applyAlignment="1">
      <alignment horizontal="right"/>
    </xf>
    <xf numFmtId="0" fontId="41" fillId="14" borderId="28" xfId="0" applyFont="1" applyFill="1" applyBorder="1" applyAlignment="1">
      <alignment horizontal="right"/>
    </xf>
    <xf numFmtId="0" fontId="36" fillId="15" borderId="26" xfId="0" applyFont="1" applyFill="1" applyBorder="1" applyAlignment="1">
      <alignment horizontal="right"/>
    </xf>
    <xf numFmtId="0" fontId="41" fillId="14" borderId="0" xfId="0" applyFont="1" applyFill="1" applyAlignment="1">
      <alignment horizontal="right"/>
    </xf>
    <xf numFmtId="0" fontId="41" fillId="14" borderId="6" xfId="0" applyFont="1" applyFill="1" applyBorder="1" applyAlignment="1">
      <alignment horizontal="right"/>
    </xf>
    <xf numFmtId="41" fontId="36" fillId="15" borderId="26" xfId="0" applyNumberFormat="1" applyFont="1" applyFill="1" applyBorder="1" applyAlignment="1">
      <alignment horizontal="right"/>
    </xf>
    <xf numFmtId="41" fontId="41" fillId="14" borderId="0" xfId="0" applyNumberFormat="1" applyFont="1" applyFill="1" applyAlignment="1">
      <alignment horizontal="right"/>
    </xf>
    <xf numFmtId="41" fontId="41" fillId="14" borderId="6" xfId="0" applyNumberFormat="1" applyFont="1" applyFill="1" applyBorder="1" applyAlignment="1">
      <alignment horizontal="right"/>
    </xf>
    <xf numFmtId="0" fontId="3" fillId="17" borderId="0" xfId="0" applyFont="1" applyFill="1" applyAlignment="1">
      <alignment horizontal="right"/>
    </xf>
    <xf numFmtId="0" fontId="3" fillId="0" borderId="6" xfId="0" applyFont="1" applyBorder="1" applyAlignment="1">
      <alignment horizontal="right"/>
    </xf>
    <xf numFmtId="165" fontId="3" fillId="17" borderId="0" xfId="1" applyNumberFormat="1" applyFont="1" applyFill="1" applyBorder="1" applyAlignment="1" applyProtection="1">
      <alignment horizontal="center"/>
    </xf>
    <xf numFmtId="165" fontId="3" fillId="0" borderId="6" xfId="1" applyNumberFormat="1" applyFont="1" applyFill="1" applyBorder="1" applyAlignment="1" applyProtection="1">
      <alignment horizontal="center"/>
    </xf>
    <xf numFmtId="165" fontId="3" fillId="17" borderId="37" xfId="1" applyNumberFormat="1" applyFont="1" applyFill="1" applyBorder="1" applyAlignment="1" applyProtection="1">
      <alignment horizontal="center"/>
    </xf>
    <xf numFmtId="165" fontId="3" fillId="0" borderId="46" xfId="1" applyNumberFormat="1" applyFont="1" applyFill="1" applyBorder="1" applyAlignment="1" applyProtection="1">
      <alignment horizontal="center"/>
    </xf>
    <xf numFmtId="0" fontId="36" fillId="18" borderId="10" xfId="0" applyFont="1" applyFill="1" applyBorder="1" applyAlignment="1">
      <alignment horizontal="center"/>
    </xf>
    <xf numFmtId="0" fontId="5" fillId="18" borderId="45" xfId="0" applyFont="1" applyFill="1" applyBorder="1" applyAlignment="1">
      <alignment horizontal="center" vertical="center" wrapText="1"/>
    </xf>
    <xf numFmtId="0" fontId="5" fillId="18" borderId="26" xfId="0" applyFont="1" applyFill="1" applyBorder="1" applyAlignment="1">
      <alignment horizontal="center" vertical="center" wrapText="1"/>
    </xf>
    <xf numFmtId="0" fontId="36" fillId="15" borderId="15" xfId="0" applyFont="1" applyFill="1" applyBorder="1" applyAlignment="1">
      <alignment horizontal="left" vertical="center"/>
    </xf>
    <xf numFmtId="0" fontId="3" fillId="13" borderId="15" xfId="0" applyFont="1" applyFill="1" applyBorder="1" applyAlignment="1">
      <alignment horizontal="left" vertical="center"/>
    </xf>
    <xf numFmtId="0" fontId="48" fillId="18" borderId="21" xfId="0" applyFont="1" applyFill="1" applyBorder="1" applyAlignment="1">
      <alignment horizontal="center" vertical="center"/>
    </xf>
    <xf numFmtId="0" fontId="42" fillId="18" borderId="14" xfId="0" applyFont="1" applyFill="1" applyBorder="1" applyAlignment="1">
      <alignment horizontal="center" vertical="center"/>
    </xf>
    <xf numFmtId="0" fontId="50" fillId="18" borderId="44" xfId="0" applyFont="1" applyFill="1" applyBorder="1" applyAlignment="1">
      <alignment horizontal="center" vertical="center"/>
    </xf>
    <xf numFmtId="0" fontId="40" fillId="18" borderId="19" xfId="0" applyFont="1" applyFill="1" applyBorder="1" applyAlignment="1">
      <alignment horizontal="center" vertical="center"/>
    </xf>
    <xf numFmtId="0" fontId="50" fillId="18" borderId="24" xfId="0" applyFont="1" applyFill="1" applyBorder="1" applyAlignment="1">
      <alignment horizontal="center" vertical="center" wrapText="1"/>
    </xf>
    <xf numFmtId="0" fontId="40" fillId="18" borderId="0" xfId="0" applyFont="1" applyFill="1" applyAlignment="1">
      <alignment horizontal="center" vertical="center" wrapText="1"/>
    </xf>
    <xf numFmtId="0" fontId="50" fillId="18" borderId="24" xfId="0" applyFont="1" applyFill="1" applyBorder="1" applyAlignment="1">
      <alignment horizontal="center" vertical="center"/>
    </xf>
    <xf numFmtId="0" fontId="40" fillId="18" borderId="0" xfId="0" applyFont="1" applyFill="1" applyAlignment="1">
      <alignment horizontal="center" vertical="center"/>
    </xf>
    <xf numFmtId="41" fontId="3" fillId="17" borderId="0" xfId="0" applyNumberFormat="1" applyFont="1" applyFill="1" applyAlignment="1">
      <alignment horizontal="center"/>
    </xf>
    <xf numFmtId="41" fontId="3" fillId="0" borderId="0" xfId="0" applyNumberFormat="1" applyFont="1" applyAlignment="1">
      <alignment horizontal="center"/>
    </xf>
    <xf numFmtId="41" fontId="3" fillId="0" borderId="6" xfId="0" applyNumberFormat="1" applyFont="1" applyBorder="1" applyAlignment="1">
      <alignment horizontal="center"/>
    </xf>
    <xf numFmtId="0" fontId="36" fillId="15" borderId="42" xfId="0" applyFont="1" applyFill="1" applyBorder="1" applyAlignment="1">
      <alignment horizontal="center"/>
    </xf>
    <xf numFmtId="0" fontId="41" fillId="14" borderId="42" xfId="0" applyFont="1" applyFill="1" applyBorder="1" applyAlignment="1">
      <alignment horizontal="center"/>
    </xf>
    <xf numFmtId="0" fontId="41" fillId="14" borderId="0" xfId="0" applyFont="1" applyFill="1" applyAlignment="1">
      <alignment horizontal="center"/>
    </xf>
    <xf numFmtId="165" fontId="36" fillId="15" borderId="0" xfId="1" applyNumberFormat="1" applyFont="1" applyFill="1" applyBorder="1" applyAlignment="1" applyProtection="1">
      <alignment horizontal="center"/>
    </xf>
    <xf numFmtId="165" fontId="41" fillId="14" borderId="0" xfId="1" applyNumberFormat="1" applyFont="1" applyFill="1" applyBorder="1" applyAlignment="1" applyProtection="1">
      <alignment horizontal="center"/>
    </xf>
    <xf numFmtId="0" fontId="29" fillId="18" borderId="26" xfId="0" applyFont="1" applyFill="1" applyBorder="1" applyAlignment="1">
      <alignment horizontal="center" vertical="center"/>
    </xf>
    <xf numFmtId="0" fontId="49" fillId="18" borderId="0" xfId="0" applyFont="1" applyFill="1" applyAlignment="1">
      <alignment horizontal="center" vertical="center" wrapText="1"/>
    </xf>
    <xf numFmtId="0" fontId="16" fillId="18" borderId="0" xfId="0" applyFont="1" applyFill="1" applyAlignment="1">
      <alignment horizontal="center" vertical="center" wrapText="1"/>
    </xf>
    <xf numFmtId="0" fontId="50" fillId="18" borderId="45" xfId="0" applyFont="1" applyFill="1" applyBorder="1" applyAlignment="1">
      <alignment horizontal="center" vertical="center"/>
    </xf>
    <xf numFmtId="0" fontId="5" fillId="18" borderId="26" xfId="0" applyFont="1" applyFill="1" applyBorder="1" applyAlignment="1">
      <alignment horizontal="center" vertical="center"/>
    </xf>
    <xf numFmtId="0" fontId="50" fillId="18" borderId="44" xfId="0" applyFont="1" applyFill="1" applyBorder="1" applyAlignment="1">
      <alignment horizontal="center" vertical="center" wrapText="1"/>
    </xf>
    <xf numFmtId="0" fontId="40" fillId="18" borderId="19" xfId="0" applyFont="1" applyFill="1" applyBorder="1" applyAlignment="1">
      <alignment horizontal="center" vertical="center" wrapText="1"/>
    </xf>
    <xf numFmtId="165" fontId="51" fillId="18" borderId="15" xfId="1" applyNumberFormat="1" applyFont="1" applyFill="1" applyBorder="1" applyAlignment="1" applyProtection="1">
      <alignment horizontal="center"/>
    </xf>
    <xf numFmtId="165" fontId="32" fillId="18" borderId="15" xfId="1" applyNumberFormat="1" applyFont="1" applyFill="1" applyBorder="1" applyAlignment="1" applyProtection="1">
      <alignment horizontal="center"/>
    </xf>
    <xf numFmtId="0" fontId="44" fillId="2" borderId="45" xfId="8" applyFont="1" applyFill="1" applyBorder="1" applyAlignment="1">
      <alignment horizontal="center" vertical="center" wrapText="1"/>
    </xf>
    <xf numFmtId="0" fontId="44" fillId="2" borderId="24" xfId="8" applyFont="1" applyFill="1" applyBorder="1" applyAlignment="1">
      <alignment horizontal="center" vertical="center" wrapText="1"/>
    </xf>
    <xf numFmtId="0" fontId="44" fillId="2" borderId="44" xfId="8" applyFont="1" applyFill="1" applyBorder="1" applyAlignment="1">
      <alignment horizontal="center" vertical="center" wrapText="1"/>
    </xf>
    <xf numFmtId="0" fontId="44" fillId="2" borderId="26" xfId="8" applyFont="1" applyFill="1" applyBorder="1" applyAlignment="1">
      <alignment horizontal="center" vertical="center" wrapText="1"/>
    </xf>
    <xf numFmtId="0" fontId="44" fillId="2" borderId="0" xfId="8" applyFont="1" applyFill="1" applyAlignment="1">
      <alignment horizontal="center" vertical="center" wrapText="1"/>
    </xf>
    <xf numFmtId="0" fontId="44" fillId="2" borderId="19" xfId="8" applyFont="1" applyFill="1" applyBorder="1" applyAlignment="1">
      <alignment horizontal="center" vertical="center" wrapText="1"/>
    </xf>
    <xf numFmtId="0" fontId="45" fillId="2" borderId="45" xfId="8" applyFont="1" applyFill="1" applyBorder="1" applyAlignment="1">
      <alignment horizontal="center" vertical="center"/>
    </xf>
    <xf numFmtId="0" fontId="45" fillId="2" borderId="24" xfId="8" applyFont="1" applyFill="1" applyBorder="1" applyAlignment="1">
      <alignment horizontal="center" vertical="center"/>
    </xf>
    <xf numFmtId="0" fontId="45" fillId="2" borderId="44" xfId="8" applyFont="1" applyFill="1" applyBorder="1" applyAlignment="1">
      <alignment horizontal="center" vertical="center"/>
    </xf>
    <xf numFmtId="0" fontId="45" fillId="17" borderId="45" xfId="8" applyFont="1" applyFill="1" applyBorder="1" applyAlignment="1">
      <alignment horizontal="center" vertical="center"/>
    </xf>
    <xf numFmtId="0" fontId="45" fillId="17" borderId="24" xfId="8" applyFont="1" applyFill="1" applyBorder="1" applyAlignment="1">
      <alignment horizontal="center" vertical="center"/>
    </xf>
    <xf numFmtId="0" fontId="45" fillId="17" borderId="44" xfId="8" applyFont="1" applyFill="1" applyBorder="1" applyAlignment="1">
      <alignment horizontal="center" vertical="center"/>
    </xf>
    <xf numFmtId="0" fontId="36" fillId="18" borderId="0" xfId="0" applyFont="1" applyFill="1" applyAlignment="1">
      <alignment horizontal="right"/>
    </xf>
    <xf numFmtId="0" fontId="3" fillId="18" borderId="0" xfId="0" applyFont="1" applyFill="1" applyAlignment="1">
      <alignment horizontal="right"/>
    </xf>
    <xf numFmtId="0" fontId="3" fillId="17" borderId="0" xfId="0" applyFont="1" applyFill="1" applyAlignment="1">
      <alignment horizontal="center" vertical="center"/>
    </xf>
    <xf numFmtId="0" fontId="3" fillId="2" borderId="0" xfId="0" applyFont="1" applyFill="1" applyAlignment="1">
      <alignment horizontal="center" vertical="center"/>
    </xf>
    <xf numFmtId="165" fontId="3" fillId="0" borderId="37" xfId="1" applyNumberFormat="1" applyFont="1" applyFill="1" applyBorder="1" applyAlignment="1" applyProtection="1">
      <alignment horizontal="center"/>
    </xf>
    <xf numFmtId="0" fontId="3" fillId="0" borderId="0" xfId="0" applyFont="1" applyAlignment="1">
      <alignment horizontal="center" vertical="center"/>
    </xf>
    <xf numFmtId="0" fontId="3" fillId="17" borderId="26" xfId="0" applyFont="1" applyFill="1" applyBorder="1" applyAlignment="1">
      <alignment horizontal="right"/>
    </xf>
    <xf numFmtId="0" fontId="3" fillId="0" borderId="0" xfId="0" applyFont="1" applyAlignment="1">
      <alignment horizontal="right"/>
    </xf>
    <xf numFmtId="9" fontId="3" fillId="17" borderId="26" xfId="0" applyNumberFormat="1" applyFont="1" applyFill="1" applyBorder="1" applyAlignment="1">
      <alignment horizontal="right"/>
    </xf>
    <xf numFmtId="9" fontId="3" fillId="0" borderId="0" xfId="0" applyNumberFormat="1" applyFont="1" applyAlignment="1">
      <alignment horizontal="right"/>
    </xf>
    <xf numFmtId="9" fontId="3" fillId="0" borderId="6" xfId="0" applyNumberFormat="1" applyFont="1" applyBorder="1" applyAlignment="1">
      <alignment horizontal="right"/>
    </xf>
    <xf numFmtId="0" fontId="56" fillId="16" borderId="69" xfId="0" applyFont="1" applyFill="1" applyBorder="1" applyAlignment="1">
      <alignment horizontal="center"/>
    </xf>
    <xf numFmtId="0" fontId="56" fillId="16" borderId="68" xfId="0" applyFont="1" applyFill="1" applyBorder="1" applyAlignment="1">
      <alignment horizontal="center"/>
    </xf>
    <xf numFmtId="0" fontId="56" fillId="4" borderId="68" xfId="0" applyFont="1" applyFill="1" applyBorder="1" applyAlignment="1">
      <alignment horizontal="center"/>
    </xf>
    <xf numFmtId="0" fontId="56" fillId="16" borderId="4" xfId="0" applyFont="1" applyFill="1" applyBorder="1" applyAlignment="1">
      <alignment horizontal="center"/>
    </xf>
    <xf numFmtId="0" fontId="56" fillId="16" borderId="3" xfId="0" applyFont="1" applyFill="1" applyBorder="1" applyAlignment="1">
      <alignment horizontal="center"/>
    </xf>
    <xf numFmtId="0" fontId="56" fillId="4" borderId="3" xfId="0" applyFont="1" applyFill="1" applyBorder="1" applyAlignment="1">
      <alignment horizontal="center"/>
    </xf>
    <xf numFmtId="165" fontId="36" fillId="15" borderId="42" xfId="1" applyNumberFormat="1" applyFont="1" applyFill="1" applyBorder="1" applyAlignment="1" applyProtection="1">
      <alignment horizontal="center"/>
    </xf>
    <xf numFmtId="165" fontId="41" fillId="14" borderId="42" xfId="1" applyNumberFormat="1" applyFont="1" applyFill="1" applyBorder="1" applyAlignment="1" applyProtection="1">
      <alignment horizontal="center"/>
    </xf>
    <xf numFmtId="165" fontId="41" fillId="14" borderId="43" xfId="1" applyNumberFormat="1" applyFont="1" applyFill="1" applyBorder="1" applyAlignment="1" applyProtection="1">
      <alignment horizontal="center"/>
    </xf>
    <xf numFmtId="165" fontId="3" fillId="2" borderId="46" xfId="1" applyNumberFormat="1" applyFont="1" applyFill="1" applyBorder="1" applyAlignment="1" applyProtection="1">
      <alignment horizontal="center"/>
    </xf>
    <xf numFmtId="0" fontId="50" fillId="15" borderId="44" xfId="0" applyFont="1" applyFill="1" applyBorder="1" applyAlignment="1">
      <alignment horizontal="center" vertical="center"/>
    </xf>
    <xf numFmtId="0" fontId="40" fillId="14" borderId="19" xfId="0" applyFont="1" applyFill="1" applyBorder="1" applyAlignment="1">
      <alignment horizontal="center" vertical="center"/>
    </xf>
    <xf numFmtId="0" fontId="50" fillId="15" borderId="24" xfId="0" applyFont="1" applyFill="1" applyBorder="1" applyAlignment="1">
      <alignment horizontal="center" vertical="center" wrapText="1"/>
    </xf>
    <xf numFmtId="0" fontId="40" fillId="14" borderId="0" xfId="0" applyFont="1" applyFill="1" applyAlignment="1">
      <alignment horizontal="center" vertical="center" wrapText="1"/>
    </xf>
    <xf numFmtId="0" fontId="50" fillId="15" borderId="24" xfId="0" applyFont="1" applyFill="1" applyBorder="1" applyAlignment="1">
      <alignment horizontal="center" vertical="center"/>
    </xf>
    <xf numFmtId="0" fontId="40" fillId="14" borderId="0" xfId="0" applyFont="1" applyFill="1" applyAlignment="1">
      <alignment horizontal="center" vertical="center"/>
    </xf>
    <xf numFmtId="165" fontId="3" fillId="2" borderId="6" xfId="1" applyNumberFormat="1" applyFont="1" applyFill="1" applyBorder="1" applyAlignment="1" applyProtection="1">
      <alignment horizontal="center"/>
    </xf>
    <xf numFmtId="41" fontId="3" fillId="2" borderId="0" xfId="0" applyNumberFormat="1" applyFont="1" applyFill="1" applyAlignment="1">
      <alignment horizontal="center"/>
    </xf>
    <xf numFmtId="41" fontId="3" fillId="2" borderId="6" xfId="0" applyNumberFormat="1" applyFont="1" applyFill="1" applyBorder="1" applyAlignment="1">
      <alignment horizontal="center"/>
    </xf>
    <xf numFmtId="0" fontId="48" fillId="15" borderId="21" xfId="0" applyFont="1" applyFill="1" applyBorder="1" applyAlignment="1">
      <alignment horizontal="center" vertical="center"/>
    </xf>
    <xf numFmtId="0" fontId="42" fillId="14" borderId="14" xfId="0" applyFont="1" applyFill="1" applyBorder="1" applyAlignment="1">
      <alignment horizontal="center" vertical="center"/>
    </xf>
    <xf numFmtId="0" fontId="3" fillId="8" borderId="6" xfId="0" applyFont="1" applyFill="1" applyBorder="1" applyAlignment="1">
      <alignment horizontal="right"/>
    </xf>
    <xf numFmtId="0" fontId="45" fillId="2" borderId="45" xfId="8" applyFont="1" applyFill="1" applyBorder="1" applyAlignment="1">
      <alignment horizontal="center"/>
    </xf>
    <xf numFmtId="0" fontId="45" fillId="2" borderId="24" xfId="8" applyFont="1" applyFill="1" applyBorder="1" applyAlignment="1">
      <alignment horizontal="center"/>
    </xf>
    <xf numFmtId="0" fontId="45" fillId="2" borderId="44" xfId="8" applyFont="1" applyFill="1" applyBorder="1" applyAlignment="1">
      <alignment horizontal="center"/>
    </xf>
    <xf numFmtId="0" fontId="45" fillId="8" borderId="24" xfId="8" applyFont="1" applyFill="1" applyBorder="1" applyAlignment="1">
      <alignment horizontal="center" vertical="center"/>
    </xf>
    <xf numFmtId="0" fontId="45" fillId="8" borderId="44" xfId="8" applyFont="1" applyFill="1" applyBorder="1" applyAlignment="1">
      <alignment horizontal="center" vertical="center"/>
    </xf>
    <xf numFmtId="0" fontId="46" fillId="17" borderId="41" xfId="0" applyFont="1" applyFill="1" applyBorder="1" applyAlignment="1">
      <alignment horizontal="left" vertical="center"/>
    </xf>
    <xf numFmtId="0" fontId="46" fillId="8" borderId="30" xfId="0" applyFont="1" applyFill="1" applyBorder="1" applyAlignment="1">
      <alignment horizontal="left" vertical="center"/>
    </xf>
    <xf numFmtId="0" fontId="41" fillId="18" borderId="10" xfId="0" applyFont="1" applyFill="1" applyBorder="1" applyAlignment="1">
      <alignment horizontal="center"/>
    </xf>
    <xf numFmtId="0" fontId="46" fillId="2" borderId="45"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19" xfId="0" applyFont="1" applyFill="1" applyBorder="1" applyAlignment="1">
      <alignment horizontal="center" vertical="center" wrapText="1"/>
    </xf>
    <xf numFmtId="0" fontId="46" fillId="2" borderId="36"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46" fillId="2" borderId="28" xfId="0" applyFont="1" applyFill="1" applyBorder="1" applyAlignment="1">
      <alignment horizontal="center" vertical="center" wrapText="1"/>
    </xf>
    <xf numFmtId="165" fontId="3" fillId="2" borderId="37" xfId="1" applyNumberFormat="1" applyFont="1" applyFill="1" applyBorder="1" applyAlignment="1" applyProtection="1">
      <alignment horizontal="center"/>
    </xf>
    <xf numFmtId="165" fontId="36" fillId="15" borderId="15" xfId="1" applyNumberFormat="1" applyFont="1" applyFill="1" applyBorder="1" applyAlignment="1" applyProtection="1"/>
    <xf numFmtId="165" fontId="3" fillId="13" borderId="15" xfId="1" applyNumberFormat="1" applyFont="1" applyFill="1" applyBorder="1" applyAlignment="1" applyProtection="1"/>
    <xf numFmtId="9" fontId="3" fillId="8" borderId="0" xfId="0" applyNumberFormat="1" applyFont="1" applyFill="1" applyAlignment="1">
      <alignment horizontal="right"/>
    </xf>
    <xf numFmtId="9" fontId="3" fillId="8" borderId="6" xfId="0" applyNumberFormat="1" applyFont="1" applyFill="1" applyBorder="1" applyAlignment="1">
      <alignment horizontal="right"/>
    </xf>
    <xf numFmtId="0" fontId="50" fillId="15" borderId="44"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3" fillId="2" borderId="0" xfId="0" applyFont="1" applyFill="1" applyAlignment="1">
      <alignment horizontal="right"/>
    </xf>
    <xf numFmtId="0" fontId="56" fillId="16" borderId="79" xfId="0" applyFont="1" applyFill="1" applyBorder="1" applyAlignment="1">
      <alignment horizontal="right"/>
    </xf>
    <xf numFmtId="0" fontId="56" fillId="16" borderId="78" xfId="0" applyFont="1" applyFill="1" applyBorder="1" applyAlignment="1">
      <alignment horizontal="right"/>
    </xf>
    <xf numFmtId="0" fontId="56" fillId="16" borderId="4" xfId="0" applyFont="1" applyFill="1" applyBorder="1" applyAlignment="1">
      <alignment horizontal="right"/>
    </xf>
    <xf numFmtId="0" fontId="56" fillId="16" borderId="3" xfId="0" applyFont="1" applyFill="1" applyBorder="1" applyAlignment="1">
      <alignment horizontal="right"/>
    </xf>
    <xf numFmtId="165" fontId="36" fillId="15" borderId="5" xfId="1" applyNumberFormat="1" applyFont="1" applyFill="1" applyBorder="1" applyAlignment="1" applyProtection="1">
      <alignment horizontal="right"/>
    </xf>
    <xf numFmtId="165" fontId="41" fillId="14" borderId="0" xfId="1" applyNumberFormat="1" applyFont="1" applyFill="1" applyBorder="1" applyAlignment="1" applyProtection="1">
      <alignment horizontal="right"/>
    </xf>
    <xf numFmtId="165" fontId="36" fillId="15" borderId="6" xfId="1" applyNumberFormat="1" applyFont="1" applyFill="1" applyBorder="1" applyAlignment="1" applyProtection="1">
      <alignment horizontal="right"/>
    </xf>
    <xf numFmtId="165" fontId="36" fillId="15" borderId="36" xfId="1" applyNumberFormat="1" applyFont="1" applyFill="1" applyBorder="1" applyAlignment="1" applyProtection="1">
      <alignment horizontal="right"/>
    </xf>
    <xf numFmtId="165" fontId="36" fillId="15" borderId="28" xfId="1" applyNumberFormat="1" applyFont="1" applyFill="1" applyBorder="1" applyAlignment="1" applyProtection="1">
      <alignment horizontal="right"/>
    </xf>
    <xf numFmtId="165" fontId="41" fillId="14" borderId="10" xfId="1" applyNumberFormat="1" applyFont="1" applyFill="1" applyBorder="1" applyAlignment="1" applyProtection="1">
      <alignment horizontal="right"/>
    </xf>
    <xf numFmtId="0" fontId="3" fillId="17" borderId="0" xfId="0" applyFont="1" applyFill="1" applyAlignment="1">
      <alignment horizontal="center"/>
    </xf>
    <xf numFmtId="0" fontId="3" fillId="2" borderId="0" xfId="0" applyFont="1" applyFill="1" applyAlignment="1">
      <alignment horizontal="center"/>
    </xf>
    <xf numFmtId="0" fontId="1" fillId="17" borderId="20" xfId="0" applyFont="1" applyFill="1" applyBorder="1" applyAlignment="1">
      <alignment horizontal="right"/>
    </xf>
    <xf numFmtId="0" fontId="1" fillId="2" borderId="20" xfId="0" applyFont="1" applyFill="1" applyBorder="1" applyAlignment="1">
      <alignment horizontal="right"/>
    </xf>
    <xf numFmtId="165" fontId="1" fillId="17" borderId="48" xfId="1" applyNumberFormat="1" applyFont="1" applyFill="1" applyBorder="1" applyAlignment="1" applyProtection="1">
      <alignment horizontal="right"/>
    </xf>
    <xf numFmtId="165" fontId="1" fillId="2" borderId="20" xfId="1" applyNumberFormat="1" applyFont="1" applyFill="1" applyBorder="1" applyAlignment="1" applyProtection="1">
      <alignment horizontal="right"/>
    </xf>
    <xf numFmtId="165" fontId="1" fillId="17" borderId="33" xfId="1" applyNumberFormat="1" applyFont="1" applyFill="1" applyBorder="1" applyAlignment="1" applyProtection="1">
      <alignment horizontal="right"/>
    </xf>
    <xf numFmtId="165" fontId="1" fillId="2" borderId="2" xfId="1" applyNumberFormat="1" applyFont="1" applyFill="1" applyBorder="1" applyAlignment="1" applyProtection="1">
      <alignment horizontal="right"/>
    </xf>
    <xf numFmtId="0" fontId="5" fillId="18" borderId="24" xfId="0" applyFont="1" applyFill="1" applyBorder="1" applyAlignment="1">
      <alignment horizontal="center" vertical="center" wrapText="1"/>
    </xf>
    <xf numFmtId="0" fontId="5" fillId="18" borderId="0" xfId="0" applyFont="1" applyFill="1" applyAlignment="1">
      <alignment horizontal="center" vertical="center" wrapText="1"/>
    </xf>
    <xf numFmtId="0" fontId="1" fillId="17" borderId="2" xfId="0" applyFont="1" applyFill="1" applyBorder="1" applyAlignment="1">
      <alignment horizontal="right"/>
    </xf>
    <xf numFmtId="0" fontId="1" fillId="2" borderId="2" xfId="0" applyFont="1" applyFill="1" applyBorder="1" applyAlignment="1">
      <alignment horizontal="right"/>
    </xf>
    <xf numFmtId="0" fontId="36" fillId="15" borderId="0" xfId="0" applyFont="1" applyFill="1" applyAlignment="1">
      <alignment horizontal="right"/>
    </xf>
    <xf numFmtId="0" fontId="3" fillId="13" borderId="0" xfId="0" applyFont="1" applyFill="1" applyAlignment="1">
      <alignment horizontal="right"/>
    </xf>
    <xf numFmtId="165" fontId="1" fillId="18" borderId="15" xfId="1" applyNumberFormat="1" applyFont="1" applyFill="1" applyBorder="1" applyAlignment="1" applyProtection="1"/>
    <xf numFmtId="165" fontId="3" fillId="17" borderId="5"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0" fontId="3" fillId="8" borderId="6" xfId="0" applyFont="1" applyFill="1" applyBorder="1" applyAlignment="1">
      <alignment horizontal="center"/>
    </xf>
    <xf numFmtId="0" fontId="53" fillId="18" borderId="24" xfId="0" applyFont="1" applyFill="1" applyBorder="1" applyAlignment="1">
      <alignment horizontal="center" vertical="center" wrapText="1"/>
    </xf>
    <xf numFmtId="0" fontId="43" fillId="18" borderId="0" xfId="0" applyFont="1" applyFill="1" applyAlignment="1">
      <alignment horizontal="center" vertical="center" wrapText="1"/>
    </xf>
    <xf numFmtId="0" fontId="53" fillId="18" borderId="45" xfId="0" applyFont="1" applyFill="1" applyBorder="1" applyAlignment="1">
      <alignment horizontal="center" vertical="center"/>
    </xf>
    <xf numFmtId="0" fontId="43" fillId="18" borderId="26" xfId="0" applyFont="1" applyFill="1" applyBorder="1" applyAlignment="1">
      <alignment horizontal="center" vertical="center"/>
    </xf>
    <xf numFmtId="0" fontId="44" fillId="17" borderId="45" xfId="8" applyFont="1" applyFill="1" applyBorder="1" applyAlignment="1">
      <alignment horizontal="center" vertical="center" wrapText="1"/>
    </xf>
    <xf numFmtId="0" fontId="44" fillId="17" borderId="24" xfId="8" applyFont="1" applyFill="1" applyBorder="1" applyAlignment="1">
      <alignment horizontal="center" vertical="center" wrapText="1"/>
    </xf>
    <xf numFmtId="0" fontId="44" fillId="17" borderId="44" xfId="8" applyFont="1" applyFill="1" applyBorder="1" applyAlignment="1">
      <alignment horizontal="center" vertical="center" wrapText="1"/>
    </xf>
    <xf numFmtId="0" fontId="44" fillId="17" borderId="26" xfId="8" applyFont="1" applyFill="1" applyBorder="1" applyAlignment="1">
      <alignment horizontal="center" vertical="center" wrapText="1"/>
    </xf>
    <xf numFmtId="0" fontId="44" fillId="17" borderId="0" xfId="8" applyFont="1" applyFill="1" applyAlignment="1">
      <alignment horizontal="center" vertical="center" wrapText="1"/>
    </xf>
    <xf numFmtId="0" fontId="44" fillId="17" borderId="19" xfId="8" applyFont="1" applyFill="1" applyBorder="1" applyAlignment="1">
      <alignment horizontal="center" vertical="center" wrapText="1"/>
    </xf>
    <xf numFmtId="0" fontId="45" fillId="17" borderId="45" xfId="8" applyFont="1" applyFill="1" applyBorder="1" applyAlignment="1">
      <alignment horizontal="center"/>
    </xf>
    <xf numFmtId="0" fontId="45" fillId="17" borderId="24" xfId="8" applyFont="1" applyFill="1" applyBorder="1" applyAlignment="1">
      <alignment horizontal="center"/>
    </xf>
    <xf numFmtId="0" fontId="45" fillId="17" borderId="44" xfId="8" applyFont="1" applyFill="1" applyBorder="1" applyAlignment="1">
      <alignment horizontal="center"/>
    </xf>
    <xf numFmtId="165" fontId="3" fillId="17" borderId="47" xfId="1" applyNumberFormat="1" applyFont="1" applyFill="1" applyBorder="1" applyAlignment="1" applyProtection="1">
      <alignment horizontal="center"/>
    </xf>
    <xf numFmtId="0" fontId="40" fillId="18" borderId="26" xfId="0" applyFont="1" applyFill="1" applyBorder="1" applyAlignment="1">
      <alignment horizontal="center" vertical="center"/>
    </xf>
    <xf numFmtId="0" fontId="3" fillId="8" borderId="0" xfId="0" applyFont="1" applyFill="1" applyAlignment="1">
      <alignment horizontal="center"/>
    </xf>
    <xf numFmtId="165" fontId="1" fillId="8" borderId="2" xfId="1" applyNumberFormat="1" applyFont="1" applyFill="1" applyBorder="1" applyAlignment="1" applyProtection="1">
      <alignment horizontal="right"/>
    </xf>
    <xf numFmtId="0" fontId="3" fillId="7" borderId="0" xfId="0" applyFont="1" applyFill="1" applyAlignment="1">
      <alignment horizontal="right"/>
    </xf>
    <xf numFmtId="165" fontId="36" fillId="15" borderId="15" xfId="1" applyNumberFormat="1" applyFont="1" applyFill="1" applyBorder="1" applyAlignment="1" applyProtection="1">
      <alignment horizontal="left" vertical="top"/>
    </xf>
    <xf numFmtId="165" fontId="3" fillId="7" borderId="15" xfId="1" applyNumberFormat="1" applyFont="1" applyFill="1" applyBorder="1" applyAlignment="1" applyProtection="1">
      <alignment horizontal="left" vertical="top"/>
    </xf>
    <xf numFmtId="0" fontId="3" fillId="8" borderId="0" xfId="0" applyFont="1" applyFill="1" applyAlignment="1">
      <alignment horizontal="center" vertical="center"/>
    </xf>
    <xf numFmtId="165" fontId="3" fillId="8" borderId="0" xfId="1" applyNumberFormat="1" applyFont="1" applyFill="1" applyBorder="1" applyAlignment="1" applyProtection="1">
      <alignment horizontal="center"/>
    </xf>
    <xf numFmtId="0" fontId="1" fillId="8" borderId="2" xfId="0" applyFont="1" applyFill="1" applyBorder="1" applyAlignment="1">
      <alignment horizontal="right"/>
    </xf>
    <xf numFmtId="165" fontId="1" fillId="8" borderId="20" xfId="1" applyNumberFormat="1" applyFont="1" applyFill="1" applyBorder="1" applyAlignment="1" applyProtection="1">
      <alignment horizontal="right"/>
    </xf>
    <xf numFmtId="0" fontId="1" fillId="8" borderId="20" xfId="0" applyFont="1" applyFill="1" applyBorder="1" applyAlignment="1">
      <alignment horizontal="right"/>
    </xf>
    <xf numFmtId="0" fontId="56" fillId="16" borderId="79" xfId="0" applyFont="1" applyFill="1" applyBorder="1" applyAlignment="1">
      <alignment horizontal="center"/>
    </xf>
    <xf numFmtId="0" fontId="56" fillId="16" borderId="78" xfId="0" applyFont="1" applyFill="1" applyBorder="1" applyAlignment="1">
      <alignment horizontal="center"/>
    </xf>
    <xf numFmtId="0" fontId="3" fillId="10" borderId="0" xfId="0" applyFont="1" applyFill="1" applyAlignment="1">
      <alignment horizontal="center"/>
    </xf>
    <xf numFmtId="165" fontId="3" fillId="10" borderId="0" xfId="1" applyNumberFormat="1" applyFont="1" applyFill="1" applyBorder="1" applyAlignment="1" applyProtection="1">
      <alignment horizontal="center"/>
    </xf>
    <xf numFmtId="0" fontId="1" fillId="10" borderId="20" xfId="0" applyFont="1" applyFill="1" applyBorder="1" applyAlignment="1">
      <alignment horizontal="right"/>
    </xf>
    <xf numFmtId="165" fontId="1" fillId="10" borderId="20" xfId="1" applyNumberFormat="1" applyFont="1" applyFill="1" applyBorder="1" applyAlignment="1" applyProtection="1">
      <alignment horizontal="right"/>
    </xf>
    <xf numFmtId="0" fontId="3" fillId="10" borderId="0" xfId="0" applyFont="1" applyFill="1" applyAlignment="1">
      <alignment horizontal="center" vertical="center"/>
    </xf>
    <xf numFmtId="0" fontId="1" fillId="10" borderId="2" xfId="0" applyFont="1" applyFill="1" applyBorder="1" applyAlignment="1">
      <alignment horizontal="right"/>
    </xf>
    <xf numFmtId="165" fontId="1" fillId="10" borderId="2" xfId="1" applyNumberFormat="1" applyFont="1" applyFill="1" applyBorder="1" applyAlignment="1" applyProtection="1">
      <alignment horizontal="right"/>
    </xf>
    <xf numFmtId="0" fontId="27" fillId="8" borderId="24" xfId="8" applyFont="1" applyFill="1" applyBorder="1" applyAlignment="1">
      <alignment horizontal="center"/>
    </xf>
    <xf numFmtId="0" fontId="27" fillId="8" borderId="44" xfId="8" applyFont="1" applyFill="1" applyBorder="1" applyAlignment="1">
      <alignment horizontal="center"/>
    </xf>
    <xf numFmtId="0" fontId="46" fillId="17" borderId="45" xfId="8" applyFont="1" applyFill="1" applyBorder="1" applyAlignment="1">
      <alignment horizontal="center" vertical="center"/>
    </xf>
    <xf numFmtId="0" fontId="23" fillId="8" borderId="24" xfId="8" applyFont="1" applyFill="1" applyBorder="1" applyAlignment="1">
      <alignment horizontal="center" vertical="center"/>
    </xf>
    <xf numFmtId="0" fontId="23" fillId="8" borderId="44" xfId="8" applyFont="1" applyFill="1" applyBorder="1" applyAlignment="1">
      <alignment horizontal="center" vertical="center"/>
    </xf>
    <xf numFmtId="0" fontId="46" fillId="17" borderId="45" xfId="0" applyFont="1" applyFill="1" applyBorder="1" applyAlignment="1">
      <alignment horizontal="center" vertical="center" wrapText="1"/>
    </xf>
    <xf numFmtId="0" fontId="46" fillId="17" borderId="24" xfId="0" applyFont="1" applyFill="1" applyBorder="1" applyAlignment="1">
      <alignment horizontal="center" vertical="center" wrapText="1"/>
    </xf>
    <xf numFmtId="0" fontId="46" fillId="17" borderId="44" xfId="0" applyFont="1" applyFill="1" applyBorder="1" applyAlignment="1">
      <alignment horizontal="center" vertical="center" wrapText="1"/>
    </xf>
    <xf numFmtId="0" fontId="46" fillId="17" borderId="26" xfId="0" applyFont="1" applyFill="1" applyBorder="1" applyAlignment="1">
      <alignment horizontal="center" vertical="center" wrapText="1"/>
    </xf>
    <xf numFmtId="0" fontId="46" fillId="17" borderId="0" xfId="0" applyFont="1" applyFill="1" applyAlignment="1">
      <alignment horizontal="center" vertical="center" wrapText="1"/>
    </xf>
    <xf numFmtId="0" fontId="46" fillId="17" borderId="19" xfId="0" applyFont="1" applyFill="1" applyBorder="1" applyAlignment="1">
      <alignment horizontal="center" vertical="center" wrapText="1"/>
    </xf>
    <xf numFmtId="0" fontId="46" fillId="17" borderId="36" xfId="0" applyFont="1" applyFill="1" applyBorder="1" applyAlignment="1">
      <alignment horizontal="center" vertical="center" wrapText="1"/>
    </xf>
    <xf numFmtId="0" fontId="46" fillId="17" borderId="10" xfId="0" applyFont="1" applyFill="1" applyBorder="1" applyAlignment="1">
      <alignment horizontal="center" vertical="center" wrapText="1"/>
    </xf>
    <xf numFmtId="0" fontId="46" fillId="17" borderId="28" xfId="0" applyFont="1" applyFill="1" applyBorder="1" applyAlignment="1">
      <alignment horizontal="center" vertical="center" wrapText="1"/>
    </xf>
    <xf numFmtId="165" fontId="3" fillId="10" borderId="37" xfId="1" applyNumberFormat="1" applyFont="1" applyFill="1" applyBorder="1" applyAlignment="1" applyProtection="1">
      <alignment horizontal="center"/>
    </xf>
    <xf numFmtId="165" fontId="3" fillId="10" borderId="46" xfId="1" applyNumberFormat="1" applyFont="1" applyFill="1" applyBorder="1" applyAlignment="1" applyProtection="1">
      <alignment horizontal="center"/>
    </xf>
    <xf numFmtId="41" fontId="3" fillId="10" borderId="0" xfId="0" applyNumberFormat="1" applyFont="1" applyFill="1" applyAlignment="1">
      <alignment horizontal="center"/>
    </xf>
    <xf numFmtId="41" fontId="3" fillId="10" borderId="6" xfId="0" applyNumberFormat="1" applyFont="1" applyFill="1" applyBorder="1" applyAlignment="1">
      <alignment horizontal="center"/>
    </xf>
    <xf numFmtId="165" fontId="3" fillId="10" borderId="6" xfId="1" applyNumberFormat="1" applyFont="1" applyFill="1" applyBorder="1" applyAlignment="1" applyProtection="1">
      <alignment horizontal="center"/>
    </xf>
  </cellXfs>
  <cellStyles count="10">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 name="Percent" xfId="9"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A50034"/>
      <color rgb="FF6E6259"/>
      <color rgb="FFFFFF66"/>
      <color rgb="FFDDCBA4"/>
      <color rgb="FF231F20"/>
      <color rgb="FFFFFFC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H9" sqref="H9"/>
    </sheetView>
  </sheetViews>
  <sheetFormatPr defaultRowHeight="12.75" x14ac:dyDescent="0.2"/>
  <cols>
    <col min="1" max="1" width="6.42578125" style="143" customWidth="1"/>
    <col min="2" max="2" width="57.140625" style="139" customWidth="1"/>
    <col min="3" max="3" width="6.42578125" style="143" customWidth="1"/>
  </cols>
  <sheetData>
    <row r="1" spans="1:3" x14ac:dyDescent="0.2">
      <c r="A1" s="58"/>
      <c r="B1" s="59"/>
      <c r="C1" s="58"/>
    </row>
    <row r="2" spans="1:3" x14ac:dyDescent="0.2">
      <c r="A2" s="58"/>
      <c r="B2" s="99" t="s">
        <v>0</v>
      </c>
      <c r="C2" s="58"/>
    </row>
    <row r="3" spans="1:3" ht="90" customHeight="1" x14ac:dyDescent="0.2">
      <c r="A3" s="58"/>
      <c r="B3" s="139" t="s">
        <v>1</v>
      </c>
      <c r="C3" s="58"/>
    </row>
    <row r="4" spans="1:3" x14ac:dyDescent="0.2">
      <c r="A4" s="58"/>
      <c r="B4" s="99" t="s">
        <v>2</v>
      </c>
      <c r="C4" s="58"/>
    </row>
    <row r="5" spans="1:3" ht="36" customHeight="1" thickBot="1" x14ac:dyDescent="0.25">
      <c r="A5" s="58"/>
      <c r="B5" s="140" t="s">
        <v>3</v>
      </c>
      <c r="C5" s="58"/>
    </row>
    <row r="6" spans="1:3" ht="35.25" customHeight="1" thickBot="1" x14ac:dyDescent="0.25">
      <c r="A6" s="58"/>
      <c r="B6" s="141" t="s">
        <v>4</v>
      </c>
      <c r="C6" s="58"/>
    </row>
    <row r="7" spans="1:3" ht="52.5" customHeight="1" thickBot="1" x14ac:dyDescent="0.25">
      <c r="A7" s="58"/>
      <c r="B7" s="141" t="s">
        <v>5</v>
      </c>
      <c r="C7" s="58"/>
    </row>
    <row r="8" spans="1:3" ht="32.25" customHeight="1" thickBot="1" x14ac:dyDescent="0.25">
      <c r="A8" s="58"/>
      <c r="B8" s="141" t="s">
        <v>6</v>
      </c>
      <c r="C8" s="58"/>
    </row>
    <row r="9" spans="1:3" ht="40.5" customHeight="1" thickBot="1" x14ac:dyDescent="0.25">
      <c r="A9" s="58"/>
      <c r="B9" s="142" t="s">
        <v>7</v>
      </c>
      <c r="C9" s="58"/>
    </row>
    <row r="10" spans="1:3" ht="40.5" customHeight="1" thickBot="1" x14ac:dyDescent="0.25">
      <c r="A10" s="58"/>
      <c r="B10" s="142" t="s">
        <v>8</v>
      </c>
      <c r="C10" s="58"/>
    </row>
    <row r="11" spans="1:3" ht="63.75" customHeight="1" thickBot="1" x14ac:dyDescent="0.25">
      <c r="A11" s="58"/>
      <c r="B11" s="142" t="s">
        <v>9</v>
      </c>
      <c r="C11" s="58"/>
    </row>
    <row r="12" spans="1:3" ht="52.5" customHeight="1" x14ac:dyDescent="0.2">
      <c r="A12" s="58"/>
      <c r="B12" s="142" t="s">
        <v>10</v>
      </c>
      <c r="C12" s="58"/>
    </row>
    <row r="13" spans="1:3" x14ac:dyDescent="0.2">
      <c r="A13" s="58"/>
      <c r="B13" s="59"/>
      <c r="C13" s="58"/>
    </row>
    <row r="14" spans="1:3" x14ac:dyDescent="0.2">
      <c r="A14" s="58"/>
      <c r="B14" s="59"/>
      <c r="C14" s="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100"/>
  <sheetViews>
    <sheetView topLeftCell="A19" zoomScaleNormal="100" workbookViewId="0">
      <selection activeCell="C31" sqref="C31"/>
    </sheetView>
  </sheetViews>
  <sheetFormatPr defaultRowHeight="12.75" outlineLevelRow="1" x14ac:dyDescent="0.2"/>
  <cols>
    <col min="1" max="1" width="29" style="4" customWidth="1"/>
    <col min="2" max="2" width="11.140625" style="4" customWidth="1"/>
    <col min="3" max="3" width="9.85546875" style="4" customWidth="1"/>
    <col min="4" max="5" width="9.28515625" style="4" customWidth="1"/>
    <col min="6" max="6" width="11.5703125" style="4" customWidth="1"/>
    <col min="7" max="7" width="9.85546875" style="4" customWidth="1"/>
    <col min="8" max="9" width="9.42578125" style="4" customWidth="1"/>
    <col min="10" max="10" width="10.42578125" style="4" customWidth="1"/>
    <col min="11" max="11" width="8.28515625" style="4" customWidth="1"/>
    <col min="12" max="13" width="9.42578125" style="4" customWidth="1"/>
    <col min="14" max="14" width="10.7109375" style="4" customWidth="1"/>
    <col min="15" max="15" width="8.5703125" style="4" customWidth="1"/>
    <col min="16" max="16" width="11.42578125" style="4" customWidth="1"/>
    <col min="17" max="17" width="9.7109375" style="4" customWidth="1"/>
    <col min="18" max="18" width="9.85546875" style="4" customWidth="1"/>
    <col min="19" max="19" width="8.7109375" style="4" customWidth="1"/>
    <col min="20" max="21" width="9.28515625" style="4" customWidth="1"/>
    <col min="22" max="22" width="10.85546875" style="4" customWidth="1"/>
    <col min="23" max="23" width="8.140625" style="4" customWidth="1"/>
    <col min="24" max="24" width="9.85546875" style="4" customWidth="1"/>
    <col min="25" max="25" width="15.140625" style="4" customWidth="1"/>
    <col min="26" max="26" width="36.4257812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18.75" customHeight="1" x14ac:dyDescent="0.2">
      <c r="A1" s="725" t="s">
        <v>11</v>
      </c>
      <c r="B1" s="726"/>
      <c r="C1" s="726"/>
      <c r="D1" s="726"/>
      <c r="E1" s="726"/>
      <c r="F1" s="726"/>
      <c r="G1" s="726"/>
      <c r="H1" s="726"/>
      <c r="I1" s="727"/>
      <c r="J1" s="731" t="s">
        <v>12</v>
      </c>
      <c r="K1" s="732"/>
      <c r="L1" s="733"/>
      <c r="M1" s="613"/>
      <c r="N1" s="326"/>
      <c r="O1" s="326"/>
      <c r="P1" s="326"/>
      <c r="Q1" s="326"/>
      <c r="R1" s="326"/>
      <c r="S1" s="326"/>
      <c r="T1" s="326"/>
      <c r="U1" s="326"/>
      <c r="V1" s="326"/>
      <c r="W1" s="326"/>
      <c r="X1" s="326"/>
      <c r="Y1" s="581"/>
      <c r="Z1" s="327"/>
      <c r="AA1" s="322"/>
      <c r="AB1" s="322"/>
      <c r="AC1" s="323"/>
      <c r="AD1" s="324"/>
      <c r="AE1" s="325"/>
      <c r="AF1" s="322"/>
      <c r="AG1" s="322"/>
      <c r="AH1" s="322"/>
      <c r="AI1" s="322"/>
      <c r="AJ1" s="322"/>
      <c r="AK1" s="322"/>
      <c r="AL1" s="322"/>
      <c r="AM1" s="322"/>
      <c r="AN1" s="322"/>
      <c r="AO1" s="322"/>
      <c r="AP1" s="322"/>
      <c r="AQ1" s="322"/>
      <c r="AR1" s="322"/>
      <c r="AS1" s="322"/>
      <c r="AT1" s="322"/>
      <c r="AU1" s="322"/>
      <c r="AV1" s="322"/>
      <c r="AW1" s="322"/>
      <c r="AX1" s="322"/>
      <c r="AY1" s="322"/>
      <c r="AZ1" s="322"/>
      <c r="BA1" s="322"/>
      <c r="BB1" s="322"/>
    </row>
    <row r="2" spans="1:54" ht="14.25" customHeight="1" x14ac:dyDescent="0.2">
      <c r="A2" s="728"/>
      <c r="B2" s="729"/>
      <c r="C2" s="729"/>
      <c r="D2" s="729"/>
      <c r="E2" s="729"/>
      <c r="F2" s="729"/>
      <c r="G2" s="729"/>
      <c r="H2" s="729"/>
      <c r="I2" s="730"/>
      <c r="J2" s="222" t="s">
        <v>13</v>
      </c>
      <c r="K2" s="223"/>
      <c r="L2" s="310">
        <f>L3/12</f>
        <v>18491.666666666668</v>
      </c>
      <c r="M2" s="598"/>
      <c r="N2" s="224"/>
      <c r="O2" s="224"/>
      <c r="P2" s="224"/>
      <c r="Q2" s="224"/>
      <c r="R2" s="224"/>
      <c r="S2" s="224"/>
      <c r="T2" s="224"/>
      <c r="U2" s="224"/>
      <c r="V2" s="224"/>
      <c r="W2" s="224"/>
      <c r="X2" s="224"/>
      <c r="Y2" s="224"/>
      <c r="Z2" s="331"/>
    </row>
    <row r="3" spans="1:54" ht="16.5" customHeight="1" thickBot="1" x14ac:dyDescent="0.25">
      <c r="A3" s="728"/>
      <c r="B3" s="729"/>
      <c r="C3" s="729"/>
      <c r="D3" s="729"/>
      <c r="E3" s="729"/>
      <c r="F3" s="729"/>
      <c r="G3" s="729"/>
      <c r="H3" s="729"/>
      <c r="I3" s="730"/>
      <c r="J3" s="226" t="s">
        <v>14</v>
      </c>
      <c r="K3" s="227"/>
      <c r="L3" s="579">
        <v>221900</v>
      </c>
      <c r="M3" s="223" t="s">
        <v>198</v>
      </c>
      <c r="N3" s="223"/>
      <c r="O3" s="224"/>
      <c r="P3" s="224"/>
      <c r="Q3" s="224"/>
      <c r="R3" s="224"/>
      <c r="S3" s="224"/>
      <c r="T3" s="224"/>
      <c r="U3" s="224"/>
      <c r="V3" s="224"/>
      <c r="W3" s="224"/>
      <c r="X3" s="224"/>
      <c r="Y3" s="224"/>
      <c r="Z3" s="331"/>
    </row>
    <row r="4" spans="1:54" x14ac:dyDescent="0.2">
      <c r="A4" s="230" t="s">
        <v>15</v>
      </c>
      <c r="B4" s="100"/>
      <c r="C4" s="101"/>
      <c r="D4" s="102"/>
      <c r="E4" s="102"/>
      <c r="F4" s="102"/>
      <c r="G4" s="102"/>
      <c r="H4" s="101"/>
      <c r="I4" s="101"/>
      <c r="J4" s="734" t="s">
        <v>16</v>
      </c>
      <c r="K4" s="735"/>
      <c r="L4" s="736"/>
      <c r="M4" s="614"/>
      <c r="N4" s="224"/>
      <c r="O4" s="228"/>
      <c r="P4" s="228"/>
      <c r="Q4" s="228"/>
      <c r="R4" s="228"/>
      <c r="S4" s="228"/>
      <c r="T4" s="228"/>
      <c r="U4" s="228"/>
      <c r="V4" s="228"/>
      <c r="W4" s="228"/>
      <c r="X4" s="228"/>
      <c r="Y4" s="441"/>
      <c r="Z4" s="336"/>
      <c r="AA4" s="60"/>
      <c r="AB4" s="60"/>
      <c r="AC4" s="61"/>
      <c r="AD4" s="1"/>
      <c r="AE4" s="2"/>
      <c r="AF4" s="3"/>
    </row>
    <row r="5" spans="1:54" x14ac:dyDescent="0.2">
      <c r="A5" s="230" t="s">
        <v>17</v>
      </c>
      <c r="B5" s="100"/>
      <c r="C5" s="103"/>
      <c r="D5" s="104"/>
      <c r="E5" s="104"/>
      <c r="F5" s="104"/>
      <c r="G5" s="104"/>
      <c r="H5" s="103"/>
      <c r="I5" s="103"/>
      <c r="J5" s="233" t="s">
        <v>18</v>
      </c>
      <c r="K5" s="234"/>
      <c r="L5" s="235">
        <v>0.28599999999999998</v>
      </c>
      <c r="M5" s="615"/>
      <c r="N5" s="232"/>
      <c r="O5" s="228"/>
      <c r="P5" s="228"/>
      <c r="Q5" s="228"/>
      <c r="R5" s="228"/>
      <c r="S5" s="228"/>
      <c r="T5" s="228"/>
      <c r="U5" s="228"/>
      <c r="V5" s="228"/>
      <c r="W5" s="228"/>
      <c r="X5" s="228"/>
      <c r="Y5" s="228"/>
      <c r="Z5" s="336"/>
      <c r="AA5" s="60"/>
      <c r="AB5" s="60"/>
      <c r="AC5" s="61"/>
      <c r="AD5" s="1"/>
      <c r="AE5" s="2"/>
      <c r="AF5" s="3"/>
    </row>
    <row r="6" spans="1:54" x14ac:dyDescent="0.2">
      <c r="A6" s="230" t="s">
        <v>19</v>
      </c>
      <c r="B6" s="100"/>
      <c r="C6" s="103"/>
      <c r="D6" s="104"/>
      <c r="E6" s="104"/>
      <c r="F6" s="104"/>
      <c r="G6" s="104"/>
      <c r="H6" s="103"/>
      <c r="I6" s="103"/>
      <c r="J6" s="233" t="s">
        <v>20</v>
      </c>
      <c r="K6" s="234"/>
      <c r="L6" s="235">
        <v>0.22</v>
      </c>
      <c r="M6" s="615"/>
      <c r="N6" s="232"/>
      <c r="O6" s="236"/>
      <c r="P6" s="236"/>
      <c r="Q6" s="236"/>
      <c r="R6" s="236"/>
      <c r="S6" s="236"/>
      <c r="T6" s="236"/>
      <c r="U6" s="236"/>
      <c r="V6" s="228"/>
      <c r="W6" s="228"/>
      <c r="X6" s="228"/>
      <c r="Y6" s="228"/>
      <c r="Z6" s="336"/>
      <c r="AA6" s="60"/>
      <c r="AB6" s="60"/>
      <c r="AC6" s="61"/>
      <c r="AD6" s="1"/>
      <c r="AE6" s="2"/>
      <c r="AF6" s="3"/>
    </row>
    <row r="7" spans="1:54" x14ac:dyDescent="0.2">
      <c r="A7" s="239" t="s">
        <v>21</v>
      </c>
      <c r="B7" s="105"/>
      <c r="C7" s="103"/>
      <c r="D7" s="104"/>
      <c r="E7" s="104"/>
      <c r="F7" s="104"/>
      <c r="G7" s="104"/>
      <c r="H7" s="103"/>
      <c r="I7" s="103"/>
      <c r="J7" s="233" t="s">
        <v>22</v>
      </c>
      <c r="K7" s="234"/>
      <c r="L7" s="235">
        <v>0.05</v>
      </c>
      <c r="M7" s="615"/>
      <c r="N7" s="232"/>
      <c r="O7" s="236"/>
      <c r="P7" s="236"/>
      <c r="Q7" s="236"/>
      <c r="R7" s="236"/>
      <c r="S7" s="236"/>
      <c r="T7" s="236"/>
      <c r="U7" s="236"/>
      <c r="V7" s="228"/>
      <c r="W7" s="228"/>
      <c r="X7" s="228"/>
      <c r="Y7" s="228"/>
      <c r="Z7" s="336"/>
      <c r="AA7" s="60"/>
      <c r="AB7" s="60"/>
      <c r="AC7" s="61"/>
      <c r="AD7" s="1"/>
      <c r="AE7" s="2"/>
      <c r="AF7" s="3"/>
    </row>
    <row r="8" spans="1:54" ht="13.5" thickBot="1" x14ac:dyDescent="0.25">
      <c r="A8" s="230" t="s">
        <v>23</v>
      </c>
      <c r="B8" s="105"/>
      <c r="C8" s="103"/>
      <c r="D8" s="104"/>
      <c r="E8" s="104"/>
      <c r="F8" s="104"/>
      <c r="G8" s="104"/>
      <c r="H8" s="103"/>
      <c r="I8" s="103"/>
      <c r="J8" s="243" t="s">
        <v>24</v>
      </c>
      <c r="K8" s="244"/>
      <c r="L8" s="311">
        <v>0.11</v>
      </c>
      <c r="M8" s="616"/>
      <c r="N8" s="232"/>
      <c r="O8" s="236"/>
      <c r="P8" s="236"/>
      <c r="Q8" s="236"/>
      <c r="R8" s="236"/>
      <c r="S8" s="236"/>
      <c r="T8" s="236"/>
      <c r="U8" s="236"/>
      <c r="V8" s="228"/>
      <c r="W8" s="228"/>
      <c r="X8" s="228"/>
      <c r="Y8" s="228"/>
      <c r="Z8" s="336"/>
      <c r="AA8" s="60"/>
      <c r="AB8" s="60"/>
      <c r="AC8" s="61"/>
      <c r="AD8" s="1"/>
      <c r="AE8" s="2"/>
      <c r="AF8" s="3"/>
    </row>
    <row r="9" spans="1:54" ht="17.25" customHeight="1" thickBot="1" x14ac:dyDescent="0.25">
      <c r="A9" s="230" t="s">
        <v>25</v>
      </c>
      <c r="B9" s="106"/>
      <c r="C9" s="103"/>
      <c r="D9" s="103"/>
      <c r="E9" s="103"/>
      <c r="F9" s="104"/>
      <c r="G9" s="104"/>
      <c r="H9" s="103"/>
      <c r="I9" s="103"/>
      <c r="J9" s="246" t="s">
        <v>26</v>
      </c>
      <c r="K9" s="612"/>
      <c r="L9" s="413">
        <v>0.38500000000000001</v>
      </c>
      <c r="M9" s="228"/>
      <c r="N9" s="228"/>
      <c r="O9" s="228"/>
      <c r="P9" s="228"/>
      <c r="Q9" s="228"/>
      <c r="R9" s="228"/>
      <c r="S9" s="228"/>
      <c r="T9" s="228"/>
      <c r="U9" s="228"/>
      <c r="V9" s="228"/>
      <c r="W9" s="228"/>
      <c r="X9" s="228"/>
      <c r="Y9" s="228"/>
      <c r="Z9" s="336"/>
      <c r="AA9" s="60"/>
      <c r="AB9" s="60"/>
      <c r="AC9" s="61"/>
      <c r="AD9" s="1"/>
      <c r="AE9" s="2"/>
      <c r="AF9" s="3"/>
    </row>
    <row r="10" spans="1:54" s="7" customFormat="1" ht="15" customHeight="1" thickBot="1" x14ac:dyDescent="0.25">
      <c r="A10" s="249" t="s">
        <v>27</v>
      </c>
      <c r="B10" s="107"/>
      <c r="C10" s="739"/>
      <c r="D10" s="742"/>
      <c r="E10" s="742"/>
      <c r="F10" s="742"/>
      <c r="G10" s="742"/>
      <c r="H10" s="225"/>
      <c r="I10" s="225"/>
      <c r="J10" s="241" t="s">
        <v>199</v>
      </c>
      <c r="K10" s="241"/>
      <c r="L10" s="241"/>
      <c r="M10" s="241"/>
      <c r="N10" s="241"/>
      <c r="O10" s="241"/>
      <c r="P10" s="241"/>
      <c r="Q10" s="241"/>
      <c r="R10" s="241"/>
      <c r="S10" s="241"/>
      <c r="T10" s="241"/>
      <c r="U10" s="241"/>
      <c r="V10" s="241"/>
      <c r="W10" s="241"/>
      <c r="X10" s="241"/>
      <c r="Y10" s="228"/>
      <c r="Z10" s="337"/>
      <c r="AC10" s="8"/>
      <c r="AD10" s="9"/>
      <c r="AE10" s="10"/>
    </row>
    <row r="11" spans="1:54" x14ac:dyDescent="0.2">
      <c r="A11" s="251" t="s">
        <v>28</v>
      </c>
      <c r="B11" s="108"/>
      <c r="C11" s="252"/>
      <c r="D11" s="225"/>
      <c r="E11" s="225"/>
      <c r="F11" s="224"/>
      <c r="G11" s="224"/>
      <c r="H11" s="224"/>
      <c r="I11" s="224"/>
      <c r="J11" s="224"/>
      <c r="K11" s="224"/>
      <c r="L11" s="224"/>
      <c r="M11" s="224"/>
      <c r="N11" s="224"/>
      <c r="O11" s="224"/>
      <c r="P11" s="224"/>
      <c r="Q11" s="224"/>
      <c r="R11" s="224"/>
      <c r="S11" s="224"/>
      <c r="T11" s="224"/>
      <c r="U11" s="224"/>
      <c r="V11" s="224"/>
      <c r="W11" s="224"/>
      <c r="X11" s="224"/>
      <c r="Y11" s="224"/>
      <c r="Z11" s="338"/>
    </row>
    <row r="12" spans="1:54" x14ac:dyDescent="0.2">
      <c r="A12" s="743" t="s">
        <v>29</v>
      </c>
      <c r="B12" s="744"/>
      <c r="C12" s="109"/>
      <c r="D12" s="224"/>
      <c r="E12" s="224"/>
      <c r="F12" s="253" t="s">
        <v>30</v>
      </c>
      <c r="G12" s="109"/>
      <c r="H12" s="224"/>
      <c r="I12" s="224"/>
      <c r="J12" s="224"/>
      <c r="K12" s="224"/>
      <c r="L12" s="224"/>
      <c r="M12" s="224"/>
      <c r="N12" s="224"/>
      <c r="O12" s="224"/>
      <c r="P12" s="224"/>
      <c r="Q12" s="224"/>
      <c r="R12" s="224"/>
      <c r="S12" s="224"/>
      <c r="T12" s="224"/>
      <c r="U12" s="224"/>
      <c r="V12" s="224"/>
      <c r="W12" s="224"/>
      <c r="X12" s="224"/>
      <c r="Y12" s="224"/>
      <c r="Z12" s="338"/>
    </row>
    <row r="13" spans="1:54" x14ac:dyDescent="0.2">
      <c r="A13" s="745" t="s">
        <v>31</v>
      </c>
      <c r="B13" s="746"/>
      <c r="C13" s="746"/>
      <c r="D13" s="746"/>
      <c r="E13" s="746"/>
      <c r="F13" s="746"/>
      <c r="G13" s="747"/>
      <c r="H13" s="110">
        <v>0</v>
      </c>
      <c r="I13" s="617"/>
      <c r="J13" s="689" t="s">
        <v>32</v>
      </c>
      <c r="K13" s="690"/>
      <c r="L13" s="110">
        <v>0</v>
      </c>
      <c r="M13" s="617"/>
      <c r="N13" s="689" t="s">
        <v>33</v>
      </c>
      <c r="O13" s="690"/>
      <c r="P13" s="110">
        <f>L13</f>
        <v>0</v>
      </c>
      <c r="Q13" s="617"/>
      <c r="R13" s="689" t="s">
        <v>34</v>
      </c>
      <c r="S13" s="690"/>
      <c r="T13" s="110">
        <f>P13</f>
        <v>0</v>
      </c>
      <c r="U13" s="617"/>
      <c r="V13" s="689" t="s">
        <v>35</v>
      </c>
      <c r="W13" s="690"/>
      <c r="X13" s="110">
        <f>T13</f>
        <v>0</v>
      </c>
      <c r="Y13" s="224"/>
      <c r="Z13" s="331"/>
    </row>
    <row r="14" spans="1:54" ht="13.5" thickBot="1" x14ac:dyDescent="0.25">
      <c r="A14" s="716" t="s">
        <v>36</v>
      </c>
      <c r="B14" s="353"/>
      <c r="C14" s="353"/>
      <c r="D14" s="353"/>
      <c r="E14" s="695" t="s">
        <v>37</v>
      </c>
      <c r="F14" s="695"/>
      <c r="G14" s="695"/>
      <c r="H14" s="695"/>
      <c r="I14" s="695" t="s">
        <v>38</v>
      </c>
      <c r="J14" s="695"/>
      <c r="K14" s="695"/>
      <c r="L14" s="695"/>
      <c r="M14" s="695" t="s">
        <v>39</v>
      </c>
      <c r="N14" s="695"/>
      <c r="O14" s="695"/>
      <c r="P14" s="695"/>
      <c r="Q14" s="695" t="s">
        <v>40</v>
      </c>
      <c r="R14" s="695"/>
      <c r="S14" s="695"/>
      <c r="T14" s="695"/>
      <c r="U14" s="695" t="s">
        <v>41</v>
      </c>
      <c r="V14" s="695"/>
      <c r="W14" s="695"/>
      <c r="X14" s="695"/>
      <c r="Y14" s="354"/>
      <c r="Z14" s="331"/>
    </row>
    <row r="15" spans="1:54" ht="15.75" customHeight="1" x14ac:dyDescent="0.2">
      <c r="A15" s="716"/>
      <c r="B15" s="717" t="s">
        <v>188</v>
      </c>
      <c r="C15" s="719" t="s">
        <v>42</v>
      </c>
      <c r="D15" s="721" t="s">
        <v>43</v>
      </c>
      <c r="E15" s="696" t="s">
        <v>189</v>
      </c>
      <c r="F15" s="704" t="s">
        <v>44</v>
      </c>
      <c r="G15" s="706" t="s">
        <v>45</v>
      </c>
      <c r="H15" s="702" t="s">
        <v>46</v>
      </c>
      <c r="I15" s="696" t="s">
        <v>190</v>
      </c>
      <c r="J15" s="704" t="s">
        <v>44</v>
      </c>
      <c r="K15" s="706" t="s">
        <v>45</v>
      </c>
      <c r="L15" s="702" t="s">
        <v>46</v>
      </c>
      <c r="M15" s="696" t="s">
        <v>191</v>
      </c>
      <c r="N15" s="704" t="s">
        <v>44</v>
      </c>
      <c r="O15" s="706" t="s">
        <v>45</v>
      </c>
      <c r="P15" s="702" t="s">
        <v>46</v>
      </c>
      <c r="Q15" s="696" t="s">
        <v>192</v>
      </c>
      <c r="R15" s="704" t="s">
        <v>44</v>
      </c>
      <c r="S15" s="706" t="s">
        <v>45</v>
      </c>
      <c r="T15" s="702" t="s">
        <v>46</v>
      </c>
      <c r="U15" s="696" t="s">
        <v>193</v>
      </c>
      <c r="V15" s="704" t="s">
        <v>44</v>
      </c>
      <c r="W15" s="706" t="s">
        <v>45</v>
      </c>
      <c r="X15" s="702" t="s">
        <v>46</v>
      </c>
      <c r="Y15" s="700" t="s">
        <v>47</v>
      </c>
      <c r="Z15" s="339"/>
      <c r="AC15" s="4"/>
      <c r="AD15" s="4"/>
      <c r="AE15" s="4"/>
    </row>
    <row r="16" spans="1:54" s="11" customFormat="1" x14ac:dyDescent="0.2">
      <c r="A16" s="443" t="s">
        <v>48</v>
      </c>
      <c r="B16" s="718"/>
      <c r="C16" s="720"/>
      <c r="D16" s="722"/>
      <c r="E16" s="697"/>
      <c r="F16" s="705"/>
      <c r="G16" s="707"/>
      <c r="H16" s="703"/>
      <c r="I16" s="697"/>
      <c r="J16" s="705"/>
      <c r="K16" s="707"/>
      <c r="L16" s="703"/>
      <c r="M16" s="697"/>
      <c r="N16" s="705"/>
      <c r="O16" s="707"/>
      <c r="P16" s="703"/>
      <c r="Q16" s="697"/>
      <c r="R16" s="705"/>
      <c r="S16" s="707"/>
      <c r="T16" s="703"/>
      <c r="U16" s="697"/>
      <c r="V16" s="705"/>
      <c r="W16" s="707"/>
      <c r="X16" s="703"/>
      <c r="Y16" s="701"/>
      <c r="Z16" s="340"/>
    </row>
    <row r="17" spans="1:85" x14ac:dyDescent="0.2">
      <c r="A17" s="442" t="s">
        <v>49</v>
      </c>
      <c r="B17" s="718"/>
      <c r="C17" s="720"/>
      <c r="D17" s="722"/>
      <c r="E17" s="697"/>
      <c r="F17" s="705"/>
      <c r="G17" s="707"/>
      <c r="H17" s="703"/>
      <c r="I17" s="697"/>
      <c r="J17" s="705"/>
      <c r="K17" s="707"/>
      <c r="L17" s="703"/>
      <c r="M17" s="697"/>
      <c r="N17" s="705"/>
      <c r="O17" s="707"/>
      <c r="P17" s="703"/>
      <c r="Q17" s="697"/>
      <c r="R17" s="705"/>
      <c r="S17" s="707"/>
      <c r="T17" s="703"/>
      <c r="U17" s="697"/>
      <c r="V17" s="705"/>
      <c r="W17" s="707"/>
      <c r="X17" s="703"/>
      <c r="Y17" s="701"/>
      <c r="Z17" s="337" t="s">
        <v>50</v>
      </c>
    </row>
    <row r="18" spans="1:85" x14ac:dyDescent="0.2">
      <c r="A18" s="111" t="s">
        <v>51</v>
      </c>
      <c r="B18" s="112"/>
      <c r="C18" s="602"/>
      <c r="D18" s="640">
        <f>9*C18</f>
        <v>0</v>
      </c>
      <c r="E18" s="638">
        <f>B18*(1+$H$13)</f>
        <v>0</v>
      </c>
      <c r="F18" s="175">
        <f>IF(($B18*(1+$H$13))&gt;=($L$2*9),ROUND(($L$2*9)*C18,0),ROUND(($C18*$B18*(1+$H$13)),0))</f>
        <v>0</v>
      </c>
      <c r="G18" s="175">
        <f>ROUND(F18*$L$5,0)</f>
        <v>0</v>
      </c>
      <c r="H18" s="176">
        <f>ROUND(SUM(F18:G18),0)</f>
        <v>0</v>
      </c>
      <c r="I18" s="638">
        <f>IF($B$10&gt;1,B18*(1+$H$13)*(1+$L$13),0)</f>
        <v>0</v>
      </c>
      <c r="J18" s="175">
        <f>IF($B$10&lt;2,0,
IF(AND($B$10&gt;1,($B$18*(1+$H$13)*(1+$L$13))&gt;=($L$2*9)),ROUND((($L$2*9)*$C$18),0),
IF(AND($B$10&gt;1,($B$18*(1+$H$13)*(1+$L$13))&lt;($L$2*9)),ROUND((F18*(1+$L$13)),0))))</f>
        <v>0</v>
      </c>
      <c r="K18" s="175">
        <f>ROUND(J18*$L$5,0)</f>
        <v>0</v>
      </c>
      <c r="L18" s="176">
        <f t="shared" ref="L18" si="0">ROUND(SUM(J18:K18),0)</f>
        <v>0</v>
      </c>
      <c r="M18" s="638">
        <f>IF($B$10&gt;2,B18*(1+$H$13)*(1+$L$13)*(1+$P$13),0)</f>
        <v>0</v>
      </c>
      <c r="N18" s="175">
        <f>IF($B$10&lt;3,0,
IF(AND($B$10&gt;2,($B18*(1+$H$13)*(1+$L$13)*(1+$P$13))&gt;=($L$2*9)),ROUND((($L$2*9)*$C18),0),
IF(AND($B$10&gt;2,($B18*(1+$H$13)*(1+$L$13)*(1+$P$13))&lt;($L$2*9)),ROUND((J18*(1+$P$13)),0))))</f>
        <v>0</v>
      </c>
      <c r="O18" s="175">
        <f>ROUND(N18*$L$5,0)</f>
        <v>0</v>
      </c>
      <c r="P18" s="176">
        <f t="shared" ref="P18:P22" si="1">ROUND(SUM(N18:O18),0)</f>
        <v>0</v>
      </c>
      <c r="Q18" s="638">
        <f>IF($B$10&gt;3,B18*(1+$H$13)*(1+$L$13)*(1+$P$13)*(1+$T$13),0)</f>
        <v>0</v>
      </c>
      <c r="R18" s="175">
        <f>IF($B$10&lt;4,0,
IF(AND($B$10&gt;3,($B18*(1+$H$13)*(1+$L$13)*(1+$P$13)*(1+$T$13))&gt;=($L$2*9)),ROUND((($L$2*9)*$C18),0),
IF(AND($B$10&gt;3,($B18*(1+$H$13)*(1+$L$13)*(1+$P$13)*(1+$T$13))&lt;($L$2*9)),ROUND((N18*(1+$T$13)),0))))</f>
        <v>0</v>
      </c>
      <c r="S18" s="175">
        <f>ROUND(R18*$L$5,0)</f>
        <v>0</v>
      </c>
      <c r="T18" s="176">
        <f t="shared" ref="T18:T22" si="2">ROUND(SUM(R18:S18),0)</f>
        <v>0</v>
      </c>
      <c r="U18" s="638">
        <f>IF($B$10&gt;4,B18*(1+$H$13)*(1+$L$13)*(1+$P$13)*(1+$T$13)*(1+$X$13),0)</f>
        <v>0</v>
      </c>
      <c r="V18" s="175">
        <f>IF($B$10&lt;5,0,
IF(AND($B$10&gt;4,($B18*(1+$H$13)*(1+$L$13)*(1+$P$13)*(1+$T$13)*(1+$X$13))&gt;=($L$2*9)),ROUND((($L$2*9)*$C18),0),
IF(AND($B$10&gt;4,($B18*(1+$H$13)*(1+$L$13)*(1+$P$13)*(1+$T$13)*(1+$X$13))&lt;($L$2*9)),ROUND((R18*(1+$X$13)),0))))</f>
        <v>0</v>
      </c>
      <c r="W18" s="175">
        <f>ROUND(V18*$L$5,0)</f>
        <v>0</v>
      </c>
      <c r="X18" s="176">
        <f t="shared" ref="X18:X22" si="3">ROUND(SUM(V18:W18),0)</f>
        <v>0</v>
      </c>
      <c r="Y18" s="355">
        <f t="shared" ref="Y18:Y28" si="4">ROUND(SUM(H18,L18,P18,T18,X18),0)</f>
        <v>0</v>
      </c>
      <c r="Z18" s="341" t="s">
        <v>51</v>
      </c>
    </row>
    <row r="19" spans="1:85" x14ac:dyDescent="0.2">
      <c r="A19" s="113" t="s">
        <v>52</v>
      </c>
      <c r="B19" s="312">
        <f>B18/9*3</f>
        <v>0</v>
      </c>
      <c r="C19" s="603"/>
      <c r="D19" s="640">
        <f>3*C19</f>
        <v>0</v>
      </c>
      <c r="E19" s="638">
        <f>B19*(1+$H$13)</f>
        <v>0</v>
      </c>
      <c r="F19" s="175">
        <f>IF(($B19*(1+$H$13))&gt;=($L$2*3),ROUND(($L$2*3)*C19,0),ROUND(($C19*$B19*(1+$H$13)),0))</f>
        <v>0</v>
      </c>
      <c r="G19" s="175">
        <f>ROUND(F19*$L$8,0)</f>
        <v>0</v>
      </c>
      <c r="H19" s="176">
        <f t="shared" ref="H19:H21" si="5">ROUND(SUM(F19:G19),0)</f>
        <v>0</v>
      </c>
      <c r="I19" s="638">
        <f t="shared" ref="I19:I28" si="6">IF($B$10&gt;1,B19*(1+$H$13)*(1+$L$13),0)</f>
        <v>0</v>
      </c>
      <c r="J19" s="175">
        <f>IF($B$10&lt;2,0,
IF(AND($B$10&gt;1,($B$19*(1+$H$13)*(1+$L$13))&gt;=($L$2*3)),ROUND((($L$2*3)*$C$19),0),
IF(AND($B$10&gt;1,($B$19*(1+$H$13)*(1+$L$13))&lt;($L$2*3)),ROUND((F19*(1+$L$13)),0))))</f>
        <v>0</v>
      </c>
      <c r="K19" s="175">
        <f>ROUND(J19*$L$8,0)</f>
        <v>0</v>
      </c>
      <c r="L19" s="176">
        <f t="shared" ref="L19:L21" si="7">ROUND(SUM(J19:K19),0)</f>
        <v>0</v>
      </c>
      <c r="M19" s="638">
        <f t="shared" ref="M19:M28" si="8">IF($B$10&gt;2,B19*(1+$H$13)*(1+$L$13)*(1+$P$13),0)</f>
        <v>0</v>
      </c>
      <c r="N19" s="175">
        <f>IF($B$10&lt;3,0,
IF(AND($B$10&gt;2,($B19*(1+$H$13)*(1+$L$13)*(1+$P$13))&gt;=($L$2*3)),ROUND((($L$2*3)*$C19),0),
IF(AND($B$10&gt;2,($B19*(1+$H$13)*(1+$L$13)*(1+$P$13))&lt;($L$2*3)),ROUND((J19*(1+$P$13)),0))))</f>
        <v>0</v>
      </c>
      <c r="O19" s="175">
        <f>ROUND(N19*$L$8,0)</f>
        <v>0</v>
      </c>
      <c r="P19" s="176">
        <f t="shared" ref="P19:P21" si="9">ROUND(SUM(N19:O19),0)</f>
        <v>0</v>
      </c>
      <c r="Q19" s="638">
        <f t="shared" ref="Q19:Q28" si="10">IF($B$10&gt;3,B19*(1+$H$13)*(1+$L$13)*(1+$P$13)*(1+$T$13),0)</f>
        <v>0</v>
      </c>
      <c r="R19" s="175">
        <f>IF($B$10&lt;4,0,
IF(AND($B$10&gt;3,($B19*(1+$H$13)*(1+$L$13)*(1+$P$13)*(1+$T$13))&gt;=($L$2*3)),ROUND((($L$2*3)*$C19),0),
IF(AND($B$10&gt;3,($B19*(1+$H$13)*(1+$L$13)*(1+$P$13)*(1+$T$13))&lt;($L$2*3)),ROUND((N19*(1+$T$13)),0))))</f>
        <v>0</v>
      </c>
      <c r="S19" s="175">
        <f>ROUND(R19*$L$8,0)</f>
        <v>0</v>
      </c>
      <c r="T19" s="176">
        <f t="shared" si="2"/>
        <v>0</v>
      </c>
      <c r="U19" s="638">
        <f t="shared" ref="U19:U28" si="11">IF($B$10&gt;4,B19*(1+$H$13)*(1+$L$13)*(1+$P$13)*(1+$T$13)*(1+$X$13),0)</f>
        <v>0</v>
      </c>
      <c r="V19" s="175">
        <f>IF($B$10&lt;5,0,
IF(AND($B$10&gt;4,($B19*(1+$H$13)*(1+$L$13)*(1+$P$13)*(1+$T$13)*(1+$X$13))&gt;=($L$2*3)),ROUND((($L$2*3)*$C19),0),
IF(AND($B$10&gt;4,($B19*(1+$H$13)*(1+$L$13)*(1+$P$13)*(1+$T$13)*(1+$X$13))&lt;($L$2*3)),ROUND((R19*(1+$X$13)),0))))</f>
        <v>0</v>
      </c>
      <c r="W19" s="175">
        <f>ROUND(V19*$L$8,0)</f>
        <v>0</v>
      </c>
      <c r="X19" s="176">
        <f t="shared" si="3"/>
        <v>0</v>
      </c>
      <c r="Y19" s="355">
        <f t="shared" si="4"/>
        <v>0</v>
      </c>
      <c r="Z19" s="341" t="s">
        <v>52</v>
      </c>
    </row>
    <row r="20" spans="1:85" x14ac:dyDescent="0.2">
      <c r="A20" s="113" t="s">
        <v>53</v>
      </c>
      <c r="B20" s="114"/>
      <c r="C20" s="603"/>
      <c r="D20" s="640">
        <f>10*C20</f>
        <v>0</v>
      </c>
      <c r="E20" s="638">
        <f>B20*(1+$H$13)</f>
        <v>0</v>
      </c>
      <c r="F20" s="175">
        <f>IF(($B20*(1+$H$13))&gt;=($L$2*10),ROUND(($L$2*10)*C20,0),ROUND(($C20*$B20*(1+$H$13)),0))</f>
        <v>0</v>
      </c>
      <c r="G20" s="175">
        <f>ROUND(F20*$L$5,0)</f>
        <v>0</v>
      </c>
      <c r="H20" s="176">
        <f t="shared" si="5"/>
        <v>0</v>
      </c>
      <c r="I20" s="638">
        <f t="shared" si="6"/>
        <v>0</v>
      </c>
      <c r="J20" s="175">
        <f>IF($B$10&lt;2,0,
IF(AND($B$10&gt;1,($B$20*(1+$H$13)*(1+$L$13))&gt;=($L$2*10)),ROUND((($L$2*10)*$C$20),0),
IF(AND($B$10&gt;1,($B$20*(1+$H$13)*(1+$L$13))&lt;($L$2*10)),ROUND((F20*(1+$L$13)),0))))</f>
        <v>0</v>
      </c>
      <c r="K20" s="175">
        <f>ROUND(J20*$L$5,0)</f>
        <v>0</v>
      </c>
      <c r="L20" s="176">
        <f t="shared" si="7"/>
        <v>0</v>
      </c>
      <c r="M20" s="638">
        <f t="shared" si="8"/>
        <v>0</v>
      </c>
      <c r="N20" s="175">
        <f>IF($B$10&lt;3,0,
IF(AND($B$10&gt;2,($B20*(1+$H$13)*(1+$L$13)*(1+$P$13))&gt;=($L$2*10)),ROUND((($L$2*10)*$C20),0),
IF(AND($B$10&gt;2,($B20*(1+$H$13)*(1+$L$13)*(1+$P$13))&lt;($L$2*10)),ROUND((J20*(1+$P$13)),0))))</f>
        <v>0</v>
      </c>
      <c r="O20" s="175">
        <f>ROUND(N20*$L$5,0)</f>
        <v>0</v>
      </c>
      <c r="P20" s="176">
        <f t="shared" si="9"/>
        <v>0</v>
      </c>
      <c r="Q20" s="638">
        <f t="shared" si="10"/>
        <v>0</v>
      </c>
      <c r="R20" s="175">
        <f>IF($B$10&lt;4,0,
IF(AND($B$10&gt;3,($B20*(1+$H$13)*(1+$L$13)*(1+$P$13)*(1+$T$13))&gt;=($L$2*10)),ROUND((($L$2*10)*$C20),0),
IF(AND($B$10&gt;3,($B20*(1+$H$13)*(1+$L$13)*(1+$P$13)*(1+$T$13))&lt;($L$2*10)),ROUND((N20*(1+$T$13)),0))))</f>
        <v>0</v>
      </c>
      <c r="S20" s="175">
        <f>ROUND(R20*$L$5,0)</f>
        <v>0</v>
      </c>
      <c r="T20" s="176">
        <f t="shared" si="2"/>
        <v>0</v>
      </c>
      <c r="U20" s="638">
        <f t="shared" si="11"/>
        <v>0</v>
      </c>
      <c r="V20" s="175">
        <f>IF($B$10&lt;5,0,
IF(AND($B$10&gt;4,($B20*(1+$H$13)*(1+$L$13)*(1+$P$13)*(1+$T$13)*(1+$X$13))&gt;=($L$2*10)),ROUND((($L$2*10)*$C20),0),
IF(AND($B$10&gt;4,($B20*(1+$H$13)*(1+$L$13)*(1+$P$13)*(1+$T$13)*(1+$X$13))&lt;($L$2*10)),ROUND((R20*(1+$X$13)),0))))</f>
        <v>0</v>
      </c>
      <c r="W20" s="175">
        <f>ROUND(V20*$L$5,0)</f>
        <v>0</v>
      </c>
      <c r="X20" s="176">
        <f t="shared" si="3"/>
        <v>0</v>
      </c>
      <c r="Y20" s="355">
        <f t="shared" si="4"/>
        <v>0</v>
      </c>
      <c r="Z20" s="341" t="s">
        <v>53</v>
      </c>
    </row>
    <row r="21" spans="1:85" x14ac:dyDescent="0.2">
      <c r="A21" s="113" t="s">
        <v>54</v>
      </c>
      <c r="B21" s="312">
        <f>B20/10*2</f>
        <v>0</v>
      </c>
      <c r="C21" s="603"/>
      <c r="D21" s="640">
        <f>2*C21</f>
        <v>0</v>
      </c>
      <c r="E21" s="638">
        <f t="shared" ref="E21:E28" si="12">B21*(1+$H$13)</f>
        <v>0</v>
      </c>
      <c r="F21" s="175">
        <f>IF(($B21*(1+$H$13))&gt;=($L$2*2),ROUND(($L$2*2)*C21,0),ROUND(($C21*$B21*(1+$H$13)),0))</f>
        <v>0</v>
      </c>
      <c r="G21" s="175">
        <f>ROUND(F21*$L$8,0)</f>
        <v>0</v>
      </c>
      <c r="H21" s="176">
        <f t="shared" si="5"/>
        <v>0</v>
      </c>
      <c r="I21" s="638">
        <f t="shared" si="6"/>
        <v>0</v>
      </c>
      <c r="J21" s="175">
        <f>IF($B$10&lt;2,0,
IF(AND($B$10&gt;1,($B$21*(1+$H$13)*(1+$L$13))&gt;=($L$2*2)),ROUND((($L$2*2)*$C$21),0),
IF(AND($B$10&gt;1,($B$21*(1+$H$13)*(1+$L$13))&lt;($L$2*2)),ROUND((F21*(1+$L$13)),0))))</f>
        <v>0</v>
      </c>
      <c r="K21" s="175">
        <f>ROUND(J21*$L$8,0)</f>
        <v>0</v>
      </c>
      <c r="L21" s="176">
        <f t="shared" si="7"/>
        <v>0</v>
      </c>
      <c r="M21" s="638">
        <f t="shared" si="8"/>
        <v>0</v>
      </c>
      <c r="N21" s="175">
        <f>IF($B$10&lt;3,0,
IF(AND($B$10&gt;2,($B21*(1+$H$13)*(1+$L$13)*(1+$P$13))&gt;=($L$2*2)),ROUND((($L$2*2)*$C21),0),
IF(AND($B$10&gt;2,($B21*(1+$H$13)*(1+$L$13)*(1+$P$13))&lt;($L$2*2)),ROUND((J21*(1+$P$13)),0))))</f>
        <v>0</v>
      </c>
      <c r="O21" s="175">
        <f>ROUND(N21*$L$8,0)</f>
        <v>0</v>
      </c>
      <c r="P21" s="176">
        <f t="shared" si="9"/>
        <v>0</v>
      </c>
      <c r="Q21" s="638">
        <f t="shared" si="10"/>
        <v>0</v>
      </c>
      <c r="R21" s="175">
        <f>IF($B$10&lt;4,0,
IF(AND($B$10&gt;3,($B21*(1+$H$13)*(1+$L$13)*(1+$P$13)*(1+$T$13))&gt;=($L$2*2)),ROUND((($L$2*2)*$C21),0),
IF(AND($B$10&gt;3,($B21*(1+$H$13)*(1+$L$13)*(1+$P$13)*(1+$T$13))&lt;($L$2*2)),ROUND((N21*(1+$T$13)),0))))</f>
        <v>0</v>
      </c>
      <c r="S21" s="175">
        <f>ROUND(R21*$L$8,0)</f>
        <v>0</v>
      </c>
      <c r="T21" s="176">
        <f t="shared" si="2"/>
        <v>0</v>
      </c>
      <c r="U21" s="638">
        <f t="shared" si="11"/>
        <v>0</v>
      </c>
      <c r="V21" s="175">
        <f>IF($B$10&lt;5,0,
IF(AND($B$10&gt;4,($B21*(1+$H$13)*(1+$L$13)*(1+$P$13)*(1+$T$13)*(1+$X$13))&gt;=($L$2*2)),ROUND((($L$2*2)*$C21),0),
IF(AND($B$10&gt;4,($B21*(1+$H$13)*(1+$L$13)*(1+$P$13)*(1+$T$13)*(1+$X$13))&lt;($L$2*2)),ROUND((R21*(1+$X$13)),0))))</f>
        <v>0</v>
      </c>
      <c r="W21" s="175">
        <f>ROUND(V21*$L$8,0)</f>
        <v>0</v>
      </c>
      <c r="X21" s="176">
        <f t="shared" si="3"/>
        <v>0</v>
      </c>
      <c r="Y21" s="355">
        <f t="shared" si="4"/>
        <v>0</v>
      </c>
      <c r="Z21" s="341" t="s">
        <v>54</v>
      </c>
    </row>
    <row r="22" spans="1:85" x14ac:dyDescent="0.2">
      <c r="A22" s="113" t="s">
        <v>55</v>
      </c>
      <c r="B22" s="114"/>
      <c r="C22" s="132"/>
      <c r="D22" s="640">
        <f t="shared" ref="D22:D28" si="13">12*C22</f>
        <v>0</v>
      </c>
      <c r="E22" s="638">
        <f t="shared" si="12"/>
        <v>0</v>
      </c>
      <c r="F22" s="175">
        <f t="shared" ref="F22:F28" si="14">IF(($B22*(1+$H$13))&gt;=$L$3,ROUND($L$3*C22,0),ROUND(($C22*$B22*(1+$H$13)),0))</f>
        <v>0</v>
      </c>
      <c r="G22" s="175">
        <f>ROUND(F22*$L$5,0)</f>
        <v>0</v>
      </c>
      <c r="H22" s="176">
        <f t="shared" ref="H22" si="15">ROUND(SUM(F22:G22),0)</f>
        <v>0</v>
      </c>
      <c r="I22" s="638">
        <f t="shared" si="6"/>
        <v>0</v>
      </c>
      <c r="J22" s="175">
        <f t="shared" ref="J22:J28" si="16">IF($B$10&lt;2,0,
IF(AND($B$10&gt;1,($B22*(1+$H$13)*(1+$L$13))&gt;=$L$3),ROUND(($L$3*$C22),0),
IF(AND($B$10&gt;1,($B22*(1+$H$13)*(1+$L$13))&lt;$L$3),ROUND((F22*(1+$L$13)),0))))</f>
        <v>0</v>
      </c>
      <c r="K22" s="175">
        <f>ROUND(J22*$L$5,0)</f>
        <v>0</v>
      </c>
      <c r="L22" s="176">
        <f t="shared" ref="L22" si="17">ROUND(SUM(J22:K22),0)</f>
        <v>0</v>
      </c>
      <c r="M22" s="638">
        <f t="shared" si="8"/>
        <v>0</v>
      </c>
      <c r="N22" s="175">
        <f t="shared" ref="N22:N27" si="18">IF($B$10&lt;3,0,
IF(AND($B$10&gt;2,($B22*(1+$H$13)*(1+$L$13)*(1+$P$13))&gt;=$L$3),ROUND(($L$3*$C22),0),
IF(AND($B$10&gt;2,($B22*(1+$H$13)*(1+$L$13)*(1+$P$13))&lt;$L$3),ROUND((J22*(1+$P$13)),0))))</f>
        <v>0</v>
      </c>
      <c r="O22" s="175">
        <f>ROUND(N22*$L$5,0)</f>
        <v>0</v>
      </c>
      <c r="P22" s="176">
        <f t="shared" si="1"/>
        <v>0</v>
      </c>
      <c r="Q22" s="638">
        <f t="shared" si="10"/>
        <v>0</v>
      </c>
      <c r="R22" s="175">
        <f t="shared" ref="R22:R28" si="19">IF($B$10&lt;4,0,
IF(AND($B$10&gt;3,($B22*(1+$H$13)*(1+$L$13)*(1+$P$13)*(1+$T$13))&gt;=$L$3),ROUND(($L$3*$C22),0),
IF(AND($B$10&gt;3,($B22*(1+$H$13)*(1+$L$13)*(1+$P$13)*(1+$T$13))&lt;$L$3),ROUND((N22*(1+$T$13)),0))))</f>
        <v>0</v>
      </c>
      <c r="S22" s="175">
        <f>ROUND(R22*$L$5,0)</f>
        <v>0</v>
      </c>
      <c r="T22" s="176">
        <f t="shared" si="2"/>
        <v>0</v>
      </c>
      <c r="U22" s="638">
        <f t="shared" si="11"/>
        <v>0</v>
      </c>
      <c r="V22" s="175">
        <f t="shared" ref="V22:V28" si="20">IF($B$10&lt;5,0,
IF(AND($B$10&gt;4,($B22*(1+$H$13)*(1+$L$13)*(1+$P$13)*(1+$T$13)*(1+$X$13))&gt;=$L$3),ROUND(($L$3*$C22),0),
IF(AND($B$10&gt;4,($B22*(1+$H$13)*(1+$L$13)*(1+$P$13)*(1+$T$13)*(1+$X$13))&lt;$L$3),ROUND((R22*(1+$X$13)),0))))</f>
        <v>0</v>
      </c>
      <c r="W22" s="175">
        <f>ROUND(V22*$L$5,0)</f>
        <v>0</v>
      </c>
      <c r="X22" s="176">
        <f t="shared" si="3"/>
        <v>0</v>
      </c>
      <c r="Y22" s="355">
        <f t="shared" si="4"/>
        <v>0</v>
      </c>
      <c r="Z22" s="341" t="s">
        <v>55</v>
      </c>
    </row>
    <row r="23" spans="1:85" x14ac:dyDescent="0.2">
      <c r="A23" s="258" t="s">
        <v>200</v>
      </c>
      <c r="B23" s="674">
        <v>66560</v>
      </c>
      <c r="C23" s="603"/>
      <c r="D23" s="640">
        <f t="shared" si="13"/>
        <v>0</v>
      </c>
      <c r="E23" s="638">
        <f t="shared" si="12"/>
        <v>66560</v>
      </c>
      <c r="F23" s="175">
        <f t="shared" si="14"/>
        <v>0</v>
      </c>
      <c r="G23" s="175">
        <f>ROUND(F23*$L$5,0)</f>
        <v>0</v>
      </c>
      <c r="H23" s="176">
        <f t="shared" ref="H23:H28" si="21">ROUND(SUM(F23:G23),0)</f>
        <v>0</v>
      </c>
      <c r="I23" s="638">
        <f t="shared" si="6"/>
        <v>0</v>
      </c>
      <c r="J23" s="175">
        <f t="shared" si="16"/>
        <v>0</v>
      </c>
      <c r="K23" s="175">
        <f>ROUND(J23*$L$5,0)</f>
        <v>0</v>
      </c>
      <c r="L23" s="176">
        <f t="shared" ref="L23:L28" si="22">ROUND(SUM(J23:K23),0)</f>
        <v>0</v>
      </c>
      <c r="M23" s="638">
        <f t="shared" si="8"/>
        <v>0</v>
      </c>
      <c r="N23" s="175">
        <f t="shared" si="18"/>
        <v>0</v>
      </c>
      <c r="O23" s="175">
        <f>ROUND(N23*$L$5,0)</f>
        <v>0</v>
      </c>
      <c r="P23" s="176">
        <f t="shared" ref="P23:P28" si="23">ROUND(SUM(N23:O23),0)</f>
        <v>0</v>
      </c>
      <c r="Q23" s="638">
        <f t="shared" si="10"/>
        <v>0</v>
      </c>
      <c r="R23" s="175">
        <f t="shared" si="19"/>
        <v>0</v>
      </c>
      <c r="S23" s="175">
        <f>ROUND(R23*$L$5,0)</f>
        <v>0</v>
      </c>
      <c r="T23" s="176">
        <f t="shared" ref="T23:T28" si="24">ROUND(SUM(R23:S23),0)</f>
        <v>0</v>
      </c>
      <c r="U23" s="638">
        <f t="shared" si="11"/>
        <v>0</v>
      </c>
      <c r="V23" s="175">
        <f t="shared" si="20"/>
        <v>0</v>
      </c>
      <c r="W23" s="175">
        <f>ROUND(V23*$L$5,0)</f>
        <v>0</v>
      </c>
      <c r="X23" s="176">
        <f t="shared" ref="X23:X28" si="25">ROUND(SUM(V23:W23),0)</f>
        <v>0</v>
      </c>
      <c r="Y23" s="355">
        <f t="shared" si="4"/>
        <v>0</v>
      </c>
      <c r="Z23" s="341" t="s">
        <v>56</v>
      </c>
    </row>
    <row r="24" spans="1:85" x14ac:dyDescent="0.2">
      <c r="A24" s="258" t="s">
        <v>201</v>
      </c>
      <c r="B24" s="674"/>
      <c r="C24" s="603"/>
      <c r="D24" s="640">
        <f t="shared" si="13"/>
        <v>0</v>
      </c>
      <c r="E24" s="638">
        <f t="shared" si="12"/>
        <v>0</v>
      </c>
      <c r="F24" s="175">
        <f t="shared" si="14"/>
        <v>0</v>
      </c>
      <c r="G24" s="175">
        <f>ROUND(F24*$L$5,0)</f>
        <v>0</v>
      </c>
      <c r="H24" s="176">
        <f t="shared" si="21"/>
        <v>0</v>
      </c>
      <c r="I24" s="638">
        <f t="shared" si="6"/>
        <v>0</v>
      </c>
      <c r="J24" s="175">
        <f t="shared" si="16"/>
        <v>0</v>
      </c>
      <c r="K24" s="175">
        <f>ROUND(J24*$L$5,0)</f>
        <v>0</v>
      </c>
      <c r="L24" s="176">
        <f t="shared" si="22"/>
        <v>0</v>
      </c>
      <c r="M24" s="638">
        <f t="shared" si="8"/>
        <v>0</v>
      </c>
      <c r="N24" s="175">
        <f t="shared" si="18"/>
        <v>0</v>
      </c>
      <c r="O24" s="175">
        <f>ROUND(N24*$L$5,0)</f>
        <v>0</v>
      </c>
      <c r="P24" s="176">
        <f t="shared" si="23"/>
        <v>0</v>
      </c>
      <c r="Q24" s="638">
        <f t="shared" si="10"/>
        <v>0</v>
      </c>
      <c r="R24" s="175">
        <f t="shared" si="19"/>
        <v>0</v>
      </c>
      <c r="S24" s="175">
        <f>ROUND(R24*$L$5,0)</f>
        <v>0</v>
      </c>
      <c r="T24" s="176">
        <f t="shared" si="24"/>
        <v>0</v>
      </c>
      <c r="U24" s="638">
        <f t="shared" si="11"/>
        <v>0</v>
      </c>
      <c r="V24" s="175">
        <f t="shared" si="20"/>
        <v>0</v>
      </c>
      <c r="W24" s="175">
        <f>ROUND(V24*$L$5,0)</f>
        <v>0</v>
      </c>
      <c r="X24" s="176">
        <f t="shared" si="25"/>
        <v>0</v>
      </c>
      <c r="Y24" s="355">
        <f t="shared" si="4"/>
        <v>0</v>
      </c>
      <c r="Z24" s="341" t="s">
        <v>56</v>
      </c>
    </row>
    <row r="25" spans="1:85" x14ac:dyDescent="0.2">
      <c r="A25" s="675" t="s">
        <v>57</v>
      </c>
      <c r="B25" s="674"/>
      <c r="C25" s="603"/>
      <c r="D25" s="640">
        <f t="shared" si="13"/>
        <v>0</v>
      </c>
      <c r="E25" s="638">
        <f t="shared" si="12"/>
        <v>0</v>
      </c>
      <c r="F25" s="175">
        <f t="shared" si="14"/>
        <v>0</v>
      </c>
      <c r="G25" s="175">
        <f>IF($C25&gt;50%,ROUND((F25*$L$6),0),ROUND((F25*$L$8),0))</f>
        <v>0</v>
      </c>
      <c r="H25" s="176">
        <f t="shared" si="21"/>
        <v>0</v>
      </c>
      <c r="I25" s="638">
        <f t="shared" si="6"/>
        <v>0</v>
      </c>
      <c r="J25" s="175">
        <f t="shared" si="16"/>
        <v>0</v>
      </c>
      <c r="K25" s="175">
        <f>IF($C25&gt;50%,ROUND((J25*$L$6),0),ROUND((J25*$L$8),0))</f>
        <v>0</v>
      </c>
      <c r="L25" s="176">
        <f t="shared" si="22"/>
        <v>0</v>
      </c>
      <c r="M25" s="638">
        <f t="shared" si="8"/>
        <v>0</v>
      </c>
      <c r="N25" s="175">
        <f t="shared" si="18"/>
        <v>0</v>
      </c>
      <c r="O25" s="175">
        <f>IF($C25&gt;50%,ROUND((N25*$L$6),0),ROUND((N25*$L$8),0))</f>
        <v>0</v>
      </c>
      <c r="P25" s="176">
        <f t="shared" si="23"/>
        <v>0</v>
      </c>
      <c r="Q25" s="638">
        <f t="shared" si="10"/>
        <v>0</v>
      </c>
      <c r="R25" s="175">
        <f t="shared" si="19"/>
        <v>0</v>
      </c>
      <c r="S25" s="175">
        <f>IF($C25&gt;50%,ROUND((R25*$L$6),0),ROUND((R25*$L$8),0))</f>
        <v>0</v>
      </c>
      <c r="T25" s="176">
        <f t="shared" si="24"/>
        <v>0</v>
      </c>
      <c r="U25" s="638">
        <f t="shared" si="11"/>
        <v>0</v>
      </c>
      <c r="V25" s="175">
        <f t="shared" si="20"/>
        <v>0</v>
      </c>
      <c r="W25" s="175">
        <f>IF($C25&gt;50%,ROUND((V25*$L$6),0),ROUND((V25*$L$8),0))</f>
        <v>0</v>
      </c>
      <c r="X25" s="176">
        <f t="shared" si="25"/>
        <v>0</v>
      </c>
      <c r="Y25" s="355">
        <f t="shared" si="4"/>
        <v>0</v>
      </c>
      <c r="Z25" s="341" t="s">
        <v>57</v>
      </c>
    </row>
    <row r="26" spans="1:85" x14ac:dyDescent="0.2">
      <c r="A26" s="258" t="s">
        <v>58</v>
      </c>
      <c r="B26" s="580">
        <f>35.77*2080</f>
        <v>74401.600000000006</v>
      </c>
      <c r="C26" s="603"/>
      <c r="D26" s="640">
        <f t="shared" si="13"/>
        <v>0</v>
      </c>
      <c r="E26" s="638">
        <f t="shared" si="12"/>
        <v>74401.600000000006</v>
      </c>
      <c r="F26" s="175">
        <f t="shared" si="14"/>
        <v>0</v>
      </c>
      <c r="G26" s="175">
        <f>ROUND(F26*$L$7,0)</f>
        <v>0</v>
      </c>
      <c r="H26" s="176">
        <f t="shared" si="21"/>
        <v>0</v>
      </c>
      <c r="I26" s="638">
        <f t="shared" si="6"/>
        <v>0</v>
      </c>
      <c r="J26" s="175">
        <f t="shared" si="16"/>
        <v>0</v>
      </c>
      <c r="K26" s="175">
        <f>ROUND(J26*$L$7,0)</f>
        <v>0</v>
      </c>
      <c r="L26" s="176">
        <f t="shared" si="22"/>
        <v>0</v>
      </c>
      <c r="M26" s="638">
        <f t="shared" si="8"/>
        <v>0</v>
      </c>
      <c r="N26" s="175">
        <f t="shared" si="18"/>
        <v>0</v>
      </c>
      <c r="O26" s="175">
        <f>ROUND(N26*$L$7,0)</f>
        <v>0</v>
      </c>
      <c r="P26" s="176">
        <f t="shared" si="23"/>
        <v>0</v>
      </c>
      <c r="Q26" s="638">
        <f t="shared" si="10"/>
        <v>0</v>
      </c>
      <c r="R26" s="175">
        <f t="shared" si="19"/>
        <v>0</v>
      </c>
      <c r="S26" s="175">
        <f>ROUND(R26*$L$7,0)</f>
        <v>0</v>
      </c>
      <c r="T26" s="176">
        <f t="shared" si="24"/>
        <v>0</v>
      </c>
      <c r="U26" s="638">
        <f t="shared" si="11"/>
        <v>0</v>
      </c>
      <c r="V26" s="175">
        <f t="shared" si="20"/>
        <v>0</v>
      </c>
      <c r="W26" s="175">
        <f>ROUND(V26*$L$7,0)</f>
        <v>0</v>
      </c>
      <c r="X26" s="176">
        <f t="shared" si="25"/>
        <v>0</v>
      </c>
      <c r="Y26" s="355">
        <f t="shared" si="4"/>
        <v>0</v>
      </c>
      <c r="Z26" s="341" t="s">
        <v>59</v>
      </c>
    </row>
    <row r="27" spans="1:85" x14ac:dyDescent="0.2">
      <c r="A27" s="258" t="s">
        <v>60</v>
      </c>
      <c r="B27" s="580">
        <f>37.82*2080</f>
        <v>78665.600000000006</v>
      </c>
      <c r="C27" s="603"/>
      <c r="D27" s="640">
        <f t="shared" si="13"/>
        <v>0</v>
      </c>
      <c r="E27" s="638">
        <f t="shared" si="12"/>
        <v>78665.600000000006</v>
      </c>
      <c r="F27" s="175">
        <f t="shared" si="14"/>
        <v>0</v>
      </c>
      <c r="G27" s="175">
        <f>ROUND(F27*$L$7,0)</f>
        <v>0</v>
      </c>
      <c r="H27" s="176">
        <f t="shared" si="21"/>
        <v>0</v>
      </c>
      <c r="I27" s="638">
        <f t="shared" si="6"/>
        <v>0</v>
      </c>
      <c r="J27" s="175">
        <f t="shared" si="16"/>
        <v>0</v>
      </c>
      <c r="K27" s="175">
        <f>ROUND(J27*$L$7,0)</f>
        <v>0</v>
      </c>
      <c r="L27" s="176">
        <f t="shared" si="22"/>
        <v>0</v>
      </c>
      <c r="M27" s="638">
        <f t="shared" si="8"/>
        <v>0</v>
      </c>
      <c r="N27" s="175">
        <f t="shared" si="18"/>
        <v>0</v>
      </c>
      <c r="O27" s="175">
        <f>ROUND(N27*$L$7,0)</f>
        <v>0</v>
      </c>
      <c r="P27" s="176">
        <f t="shared" si="23"/>
        <v>0</v>
      </c>
      <c r="Q27" s="638">
        <f t="shared" si="10"/>
        <v>0</v>
      </c>
      <c r="R27" s="175">
        <f t="shared" si="19"/>
        <v>0</v>
      </c>
      <c r="S27" s="175">
        <f>ROUND(R27*$L$7,0)</f>
        <v>0</v>
      </c>
      <c r="T27" s="176">
        <f t="shared" si="24"/>
        <v>0</v>
      </c>
      <c r="U27" s="638">
        <f t="shared" si="11"/>
        <v>0</v>
      </c>
      <c r="V27" s="175">
        <f t="shared" si="20"/>
        <v>0</v>
      </c>
      <c r="W27" s="175">
        <f>ROUND(V27*$L$7,0)</f>
        <v>0</v>
      </c>
      <c r="X27" s="176">
        <f t="shared" si="25"/>
        <v>0</v>
      </c>
      <c r="Y27" s="355">
        <f t="shared" si="4"/>
        <v>0</v>
      </c>
      <c r="Z27" s="341" t="s">
        <v>61</v>
      </c>
    </row>
    <row r="28" spans="1:85" ht="13.5" thickBot="1" x14ac:dyDescent="0.25">
      <c r="A28" s="259" t="s">
        <v>62</v>
      </c>
      <c r="B28" s="115">
        <f>16*2080</f>
        <v>33280</v>
      </c>
      <c r="C28" s="135"/>
      <c r="D28" s="641">
        <f t="shared" si="13"/>
        <v>0</v>
      </c>
      <c r="E28" s="639">
        <f t="shared" si="12"/>
        <v>33280</v>
      </c>
      <c r="F28" s="177">
        <f t="shared" si="14"/>
        <v>0</v>
      </c>
      <c r="G28" s="177">
        <f>ROUND(F28*$L$7,0)</f>
        <v>0</v>
      </c>
      <c r="H28" s="178">
        <f t="shared" si="21"/>
        <v>0</v>
      </c>
      <c r="I28" s="638">
        <f t="shared" si="6"/>
        <v>0</v>
      </c>
      <c r="J28" s="177">
        <f t="shared" si="16"/>
        <v>0</v>
      </c>
      <c r="K28" s="177">
        <f>ROUND(J28*$L$7,0)</f>
        <v>0</v>
      </c>
      <c r="L28" s="178">
        <f t="shared" si="22"/>
        <v>0</v>
      </c>
      <c r="M28" s="638">
        <f t="shared" si="8"/>
        <v>0</v>
      </c>
      <c r="N28" s="177">
        <f>IF($B$10&lt;2,0,
IF(AND($B$10&gt;1,($B28*(1+$H$13)*(1+$L$13)*(1+$P$13))&gt;=$L$3),ROUND(($L$3*$C28),0),
IF(AND($B$10&gt;1,($B28*(1+$H$13)*(1+$L$13)*(1+$P$13))&lt;$L$3),ROUND((J28*(1+$P$13)),0))))</f>
        <v>0</v>
      </c>
      <c r="O28" s="177">
        <f>ROUND(N28*$L$7,0)</f>
        <v>0</v>
      </c>
      <c r="P28" s="178">
        <f t="shared" si="23"/>
        <v>0</v>
      </c>
      <c r="Q28" s="638">
        <f t="shared" si="10"/>
        <v>0</v>
      </c>
      <c r="R28" s="177">
        <f t="shared" si="19"/>
        <v>0</v>
      </c>
      <c r="S28" s="177">
        <f>ROUND(R28*$L$7,0)</f>
        <v>0</v>
      </c>
      <c r="T28" s="178">
        <f t="shared" si="24"/>
        <v>0</v>
      </c>
      <c r="U28" s="638">
        <f t="shared" si="11"/>
        <v>0</v>
      </c>
      <c r="V28" s="177">
        <f t="shared" si="20"/>
        <v>0</v>
      </c>
      <c r="W28" s="177">
        <f>ROUND(V28*$L$7,0)</f>
        <v>0</v>
      </c>
      <c r="X28" s="178">
        <f t="shared" si="25"/>
        <v>0</v>
      </c>
      <c r="Y28" s="355">
        <f t="shared" si="4"/>
        <v>0</v>
      </c>
      <c r="Z28" s="341" t="s">
        <v>63</v>
      </c>
    </row>
    <row r="29" spans="1:85" ht="13.5" thickBot="1" x14ac:dyDescent="0.25">
      <c r="A29" s="260" t="s">
        <v>64</v>
      </c>
      <c r="B29" s="261" t="s">
        <v>65</v>
      </c>
      <c r="C29" s="262"/>
      <c r="D29" s="261"/>
      <c r="E29" s="261"/>
      <c r="F29" s="179">
        <f t="shared" ref="F29:Y29" si="26">SUM(F18:F28)</f>
        <v>0</v>
      </c>
      <c r="G29" s="177">
        <f t="shared" si="26"/>
        <v>0</v>
      </c>
      <c r="H29" s="180">
        <f t="shared" si="26"/>
        <v>0</v>
      </c>
      <c r="I29" s="637"/>
      <c r="J29" s="177">
        <f t="shared" si="26"/>
        <v>0</v>
      </c>
      <c r="K29" s="177">
        <f t="shared" si="26"/>
        <v>0</v>
      </c>
      <c r="L29" s="180">
        <f t="shared" si="26"/>
        <v>0</v>
      </c>
      <c r="M29" s="637"/>
      <c r="N29" s="177">
        <f t="shared" si="26"/>
        <v>0</v>
      </c>
      <c r="O29" s="177">
        <f t="shared" si="26"/>
        <v>0</v>
      </c>
      <c r="P29" s="180">
        <f t="shared" si="26"/>
        <v>0</v>
      </c>
      <c r="Q29" s="637"/>
      <c r="R29" s="177">
        <f t="shared" si="26"/>
        <v>0</v>
      </c>
      <c r="S29" s="177">
        <f t="shared" si="26"/>
        <v>0</v>
      </c>
      <c r="T29" s="180">
        <f t="shared" si="26"/>
        <v>0</v>
      </c>
      <c r="U29" s="637"/>
      <c r="V29" s="177">
        <f t="shared" si="26"/>
        <v>0</v>
      </c>
      <c r="W29" s="177">
        <f t="shared" si="26"/>
        <v>0</v>
      </c>
      <c r="X29" s="180">
        <f t="shared" si="26"/>
        <v>0</v>
      </c>
      <c r="Y29" s="356">
        <f t="shared" si="26"/>
        <v>0</v>
      </c>
      <c r="Z29" s="342" t="s">
        <v>64</v>
      </c>
      <c r="AA29" s="3"/>
      <c r="AB29" s="3"/>
      <c r="AC29" s="3"/>
      <c r="AD29" s="3"/>
    </row>
    <row r="30" spans="1:85" ht="13.5" thickBot="1" x14ac:dyDescent="0.25">
      <c r="A30" s="260"/>
      <c r="B30" s="261"/>
      <c r="C30" s="262"/>
      <c r="D30" s="261"/>
      <c r="E30" s="261"/>
      <c r="F30" s="261"/>
      <c r="G30" s="261"/>
      <c r="H30" s="263"/>
      <c r="I30" s="263"/>
      <c r="J30" s="261"/>
      <c r="K30" s="261"/>
      <c r="L30" s="263"/>
      <c r="M30" s="263"/>
      <c r="N30" s="261"/>
      <c r="O30" s="261"/>
      <c r="P30" s="263"/>
      <c r="Q30" s="263"/>
      <c r="R30" s="261"/>
      <c r="S30" s="261"/>
      <c r="T30" s="263"/>
      <c r="U30" s="263"/>
      <c r="V30" s="261"/>
      <c r="W30" s="261"/>
      <c r="X30" s="263"/>
      <c r="Y30" s="357">
        <f>SUM(V29,R29,N29,J29,F29)</f>
        <v>0</v>
      </c>
      <c r="Z30" s="342" t="s">
        <v>66</v>
      </c>
      <c r="AA30" s="3"/>
      <c r="AB30" s="3"/>
      <c r="AC30" s="3"/>
      <c r="AD30" s="3"/>
    </row>
    <row r="31" spans="1:85" ht="13.5" thickBot="1" x14ac:dyDescent="0.25">
      <c r="A31" s="264"/>
      <c r="B31" s="265"/>
      <c r="C31" s="266"/>
      <c r="D31" s="265"/>
      <c r="E31" s="265"/>
      <c r="F31" s="265"/>
      <c r="G31" s="265"/>
      <c r="H31" s="267" t="s">
        <v>37</v>
      </c>
      <c r="I31" s="267"/>
      <c r="J31" s="268"/>
      <c r="K31" s="268"/>
      <c r="L31" s="267" t="s">
        <v>38</v>
      </c>
      <c r="M31" s="267"/>
      <c r="N31" s="268"/>
      <c r="O31" s="268"/>
      <c r="P31" s="267" t="s">
        <v>39</v>
      </c>
      <c r="Q31" s="267"/>
      <c r="R31" s="268"/>
      <c r="S31" s="268"/>
      <c r="T31" s="267" t="s">
        <v>40</v>
      </c>
      <c r="U31" s="267"/>
      <c r="V31" s="268"/>
      <c r="W31" s="268"/>
      <c r="X31" s="267" t="s">
        <v>41</v>
      </c>
      <c r="Y31" s="358">
        <f>W29+S29+O29+K29+G29</f>
        <v>0</v>
      </c>
      <c r="Z31" s="343" t="s">
        <v>67</v>
      </c>
      <c r="AA31" s="3"/>
      <c r="AB31" s="3"/>
      <c r="AC31" s="3"/>
      <c r="AD31" s="3"/>
    </row>
    <row r="32" spans="1:85" s="3" customFormat="1" ht="17.25" customHeight="1" thickBot="1" x14ac:dyDescent="0.25">
      <c r="A32" s="269" t="s">
        <v>68</v>
      </c>
      <c r="B32" s="313"/>
      <c r="C32" s="314"/>
      <c r="D32" s="693"/>
      <c r="E32" s="693"/>
      <c r="F32" s="741"/>
      <c r="G32" s="694"/>
      <c r="H32" s="116">
        <v>0</v>
      </c>
      <c r="I32" s="618"/>
      <c r="J32" s="693"/>
      <c r="K32" s="694"/>
      <c r="L32" s="116">
        <v>0</v>
      </c>
      <c r="M32" s="618"/>
      <c r="N32" s="693"/>
      <c r="O32" s="694"/>
      <c r="P32" s="116">
        <v>0</v>
      </c>
      <c r="Q32" s="618"/>
      <c r="R32" s="693"/>
      <c r="S32" s="694"/>
      <c r="T32" s="116">
        <v>0</v>
      </c>
      <c r="U32" s="618"/>
      <c r="V32" s="693"/>
      <c r="W32" s="694"/>
      <c r="X32" s="116">
        <v>0</v>
      </c>
      <c r="Y32" s="359">
        <f>X32+T32+P32+L32+H32</f>
        <v>0</v>
      </c>
      <c r="Z32" s="344" t="s">
        <v>69</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row>
    <row r="33" spans="1:33" x14ac:dyDescent="0.2">
      <c r="A33" s="275" t="s">
        <v>70</v>
      </c>
      <c r="B33" s="261"/>
      <c r="C33" s="276"/>
      <c r="D33" s="708"/>
      <c r="E33" s="708"/>
      <c r="F33" s="709"/>
      <c r="G33" s="710"/>
      <c r="H33" s="117">
        <v>0</v>
      </c>
      <c r="I33" s="619"/>
      <c r="J33" s="691"/>
      <c r="K33" s="692"/>
      <c r="L33" s="117">
        <v>0</v>
      </c>
      <c r="M33" s="619"/>
      <c r="N33" s="691"/>
      <c r="O33" s="692"/>
      <c r="P33" s="117">
        <v>0</v>
      </c>
      <c r="Q33" s="619"/>
      <c r="R33" s="691"/>
      <c r="S33" s="692"/>
      <c r="T33" s="117">
        <v>0</v>
      </c>
      <c r="U33" s="619"/>
      <c r="V33" s="691"/>
      <c r="W33" s="692"/>
      <c r="X33" s="117">
        <v>0</v>
      </c>
      <c r="Y33" s="360">
        <f>SUM(X33,T33,P33,L33,H33)</f>
        <v>0</v>
      </c>
      <c r="Z33" s="331" t="s">
        <v>71</v>
      </c>
      <c r="AA33" s="3"/>
      <c r="AB33" s="3"/>
      <c r="AC33" s="3"/>
      <c r="AD33" s="3"/>
    </row>
    <row r="34" spans="1:33" ht="13.5" thickBot="1" x14ac:dyDescent="0.25">
      <c r="A34" s="275" t="s">
        <v>72</v>
      </c>
      <c r="B34" s="261"/>
      <c r="C34" s="276"/>
      <c r="D34" s="708"/>
      <c r="E34" s="708"/>
      <c r="F34" s="709"/>
      <c r="G34" s="709"/>
      <c r="H34" s="121">
        <v>0</v>
      </c>
      <c r="I34" s="619"/>
      <c r="J34" s="691"/>
      <c r="K34" s="692"/>
      <c r="L34" s="121">
        <v>0</v>
      </c>
      <c r="M34" s="619"/>
      <c r="N34" s="691"/>
      <c r="O34" s="692"/>
      <c r="P34" s="121">
        <v>0</v>
      </c>
      <c r="Q34" s="619"/>
      <c r="R34" s="691"/>
      <c r="S34" s="692"/>
      <c r="T34" s="121">
        <v>0</v>
      </c>
      <c r="U34" s="619"/>
      <c r="V34" s="691"/>
      <c r="W34" s="692"/>
      <c r="X34" s="121">
        <v>0</v>
      </c>
      <c r="Y34" s="361">
        <f>SUM(X34,T34,P34,L34,H34)</f>
        <v>0</v>
      </c>
      <c r="Z34" s="331" t="s">
        <v>73</v>
      </c>
      <c r="AA34" s="3"/>
      <c r="AB34" s="3"/>
      <c r="AC34" s="3"/>
      <c r="AD34" s="3"/>
    </row>
    <row r="35" spans="1:33" ht="13.5" thickBot="1" x14ac:dyDescent="0.25">
      <c r="A35" s="282" t="s">
        <v>74</v>
      </c>
      <c r="B35" s="265"/>
      <c r="C35" s="283"/>
      <c r="D35" s="265"/>
      <c r="E35" s="265"/>
      <c r="F35" s="265"/>
      <c r="G35" s="265"/>
      <c r="H35" s="186">
        <f>H33+H34</f>
        <v>0</v>
      </c>
      <c r="I35" s="620"/>
      <c r="J35" s="265"/>
      <c r="K35" s="265"/>
      <c r="L35" s="181">
        <f>L33+L34</f>
        <v>0</v>
      </c>
      <c r="M35" s="620"/>
      <c r="N35" s="265"/>
      <c r="O35" s="265"/>
      <c r="P35" s="181">
        <f>P33+P34</f>
        <v>0</v>
      </c>
      <c r="Q35" s="620"/>
      <c r="R35" s="265"/>
      <c r="S35" s="265"/>
      <c r="T35" s="181">
        <f>T33+T34</f>
        <v>0</v>
      </c>
      <c r="U35" s="620"/>
      <c r="V35" s="265"/>
      <c r="W35" s="265"/>
      <c r="X35" s="181">
        <f>X33+X34</f>
        <v>0</v>
      </c>
      <c r="Y35" s="362">
        <f>SUM(Y33:Y34)</f>
        <v>0</v>
      </c>
      <c r="Z35" s="345" t="s">
        <v>75</v>
      </c>
      <c r="AA35" s="79"/>
    </row>
    <row r="36" spans="1:33" outlineLevel="1" x14ac:dyDescent="0.2">
      <c r="A36" s="285" t="s">
        <v>76</v>
      </c>
      <c r="B36" s="367" t="s">
        <v>77</v>
      </c>
      <c r="C36" s="737" t="s">
        <v>78</v>
      </c>
      <c r="D36" s="738"/>
      <c r="E36" s="738"/>
      <c r="F36" s="738"/>
      <c r="G36" s="119"/>
      <c r="H36" s="263"/>
      <c r="I36" s="621"/>
      <c r="J36" s="368" t="s">
        <v>38</v>
      </c>
      <c r="K36" s="119"/>
      <c r="L36" s="263"/>
      <c r="M36" s="621"/>
      <c r="N36" s="369" t="s">
        <v>39</v>
      </c>
      <c r="O36" s="119"/>
      <c r="P36" s="263"/>
      <c r="Q36" s="621"/>
      <c r="R36" s="368" t="s">
        <v>40</v>
      </c>
      <c r="S36" s="119"/>
      <c r="T36" s="263"/>
      <c r="U36" s="621"/>
      <c r="V36" s="368" t="s">
        <v>41</v>
      </c>
      <c r="W36" s="119"/>
      <c r="X36" s="263"/>
      <c r="Y36" s="366"/>
      <c r="Z36" s="575" t="s">
        <v>76</v>
      </c>
      <c r="AA36" s="79"/>
    </row>
    <row r="37" spans="1:33" outlineLevel="1" x14ac:dyDescent="0.2">
      <c r="A37" s="258" t="s">
        <v>79</v>
      </c>
      <c r="B37" s="112"/>
      <c r="C37" s="224"/>
      <c r="D37" s="224"/>
      <c r="E37" s="224"/>
      <c r="F37" s="224"/>
      <c r="G37" s="261"/>
      <c r="H37" s="182">
        <f>(B37*$G$36*(1+$H$13))</f>
        <v>0</v>
      </c>
      <c r="I37" s="622"/>
      <c r="J37" s="261"/>
      <c r="K37" s="261"/>
      <c r="L37" s="183">
        <f>IF($B$10&gt;1,ROUND($B37*$K$36*(1+$H$13)*(1+$L$13),0),0)</f>
        <v>0</v>
      </c>
      <c r="M37" s="622"/>
      <c r="N37" s="261"/>
      <c r="O37" s="261"/>
      <c r="P37" s="183">
        <f>IF($B$10&gt;2,ROUND($B37*$O$36*(1+$H$13)*(1+$L$13)*(1+$P$13),0),0)</f>
        <v>0</v>
      </c>
      <c r="Q37" s="622"/>
      <c r="R37" s="261"/>
      <c r="S37" s="261"/>
      <c r="T37" s="183">
        <f>IF($B$10&gt;3,ROUND($B37*$S$36*(1+$H$13)*(1+$L$13)*(1+$P$13)*(1+$T$13),0),0)</f>
        <v>0</v>
      </c>
      <c r="U37" s="622"/>
      <c r="V37" s="261"/>
      <c r="W37" s="261"/>
      <c r="X37" s="183">
        <f>IF($B$10&gt;4,ROUND($B37*$W$36*(1+$H$13)*(1+$L$13)*(1+$P$13)*(1+$T$13)*(1+$X$13),0),0)</f>
        <v>0</v>
      </c>
      <c r="Y37" s="363">
        <f t="shared" ref="Y37:Y42" si="27">SUM(H37,L37,P37,T37,X37)</f>
        <v>0</v>
      </c>
      <c r="Z37" s="341" t="s">
        <v>80</v>
      </c>
    </row>
    <row r="38" spans="1:33" outlineLevel="1" x14ac:dyDescent="0.2">
      <c r="A38" s="258" t="s">
        <v>81</v>
      </c>
      <c r="B38" s="114"/>
      <c r="C38" s="224"/>
      <c r="D38" s="261"/>
      <c r="E38" s="261"/>
      <c r="F38" s="261"/>
      <c r="G38" s="261"/>
      <c r="H38" s="182">
        <f>B38*$G$36*(1+$H$13)</f>
        <v>0</v>
      </c>
      <c r="I38" s="622"/>
      <c r="J38" s="261"/>
      <c r="K38" s="261"/>
      <c r="L38" s="183">
        <f>IF($B$10&gt;1,ROUND($B38*$K$36*(1+$H$13)*(1+$L$13),0),0)</f>
        <v>0</v>
      </c>
      <c r="M38" s="622"/>
      <c r="N38" s="261"/>
      <c r="O38" s="261"/>
      <c r="P38" s="183">
        <f>IF($B$10&gt;2,ROUND($B38*$O$36*(1+$H$13)*(1+$L$13)*(1+$P$13),0),0)</f>
        <v>0</v>
      </c>
      <c r="Q38" s="622"/>
      <c r="R38" s="261"/>
      <c r="S38" s="261"/>
      <c r="T38" s="183">
        <f>IF($B$10&gt;3,ROUND($B38*$S$36*(1+$H$13)*(1+$L$13)*(1+$P$13)*(1+$T$13),0),0)</f>
        <v>0</v>
      </c>
      <c r="U38" s="622"/>
      <c r="V38" s="261"/>
      <c r="W38" s="261"/>
      <c r="X38" s="183">
        <f>IF($B$10&gt;4,ROUND($B38*$W$36*(1+$H$13)*(1+$L$13)*(1+$P$13)*(1+$T$13)*(1+$X$13),0),0)</f>
        <v>0</v>
      </c>
      <c r="Y38" s="363">
        <f t="shared" si="27"/>
        <v>0</v>
      </c>
      <c r="Z38" s="341" t="s">
        <v>82</v>
      </c>
    </row>
    <row r="39" spans="1:33" outlineLevel="1" x14ac:dyDescent="0.2">
      <c r="A39" s="258" t="s">
        <v>83</v>
      </c>
      <c r="B39" s="114"/>
      <c r="C39" s="224"/>
      <c r="D39" s="261"/>
      <c r="E39" s="261"/>
      <c r="F39" s="261"/>
      <c r="G39" s="261"/>
      <c r="H39" s="182">
        <f>B39*$G$36*(1+$H$13)</f>
        <v>0</v>
      </c>
      <c r="I39" s="622"/>
      <c r="J39" s="261"/>
      <c r="K39" s="261"/>
      <c r="L39" s="183">
        <f>IF($B$10&gt;1,ROUND($B39*$K$36*(1+$H$13)*(1+$L$13),0),0)</f>
        <v>0</v>
      </c>
      <c r="M39" s="622"/>
      <c r="N39" s="261"/>
      <c r="O39" s="261"/>
      <c r="P39" s="183">
        <f>IF($B$10&gt;2,ROUND($B39*$O$36*(1+$H$13)*(1+$L$13)*(1+$P$13),0),0)</f>
        <v>0</v>
      </c>
      <c r="Q39" s="622"/>
      <c r="R39" s="261"/>
      <c r="S39" s="261"/>
      <c r="T39" s="183">
        <f>IF($B$10&gt;3,ROUND($B39*$S$36*(1+$H$13)*(1+$L$13)*(1+$P$13)*(1+$T$13),0),0)</f>
        <v>0</v>
      </c>
      <c r="U39" s="622"/>
      <c r="V39" s="261"/>
      <c r="W39" s="261"/>
      <c r="X39" s="183">
        <f>IF($B$10&gt;4,ROUND($B39*$W$36*(1+$H$13)*(1+$L$13)*(1+$P$13)*(1+$T$13)*(1+$X$13),0),0)</f>
        <v>0</v>
      </c>
      <c r="Y39" s="363">
        <f t="shared" si="27"/>
        <v>0</v>
      </c>
      <c r="Z39" s="341" t="s">
        <v>84</v>
      </c>
    </row>
    <row r="40" spans="1:33" outlineLevel="1" x14ac:dyDescent="0.2">
      <c r="A40" s="258" t="s">
        <v>85</v>
      </c>
      <c r="B40" s="114"/>
      <c r="C40" s="224"/>
      <c r="D40" s="261"/>
      <c r="E40" s="261"/>
      <c r="F40" s="261"/>
      <c r="G40" s="261"/>
      <c r="H40" s="182">
        <f>B40*$G$36*(1+$H$13)</f>
        <v>0</v>
      </c>
      <c r="I40" s="622"/>
      <c r="J40" s="261"/>
      <c r="K40" s="261"/>
      <c r="L40" s="183">
        <f>IF($B$10&gt;1,ROUND($B40*$K$36*(1+$H$13)*(1+$L$13),0),0)</f>
        <v>0</v>
      </c>
      <c r="M40" s="622"/>
      <c r="N40" s="261"/>
      <c r="O40" s="261"/>
      <c r="P40" s="183">
        <f>IF($B$10&gt;2,ROUND($B40*$O$36*(1+$H$13)*(1+$L$13)*(1+$P$13),0),0)</f>
        <v>0</v>
      </c>
      <c r="Q40" s="622"/>
      <c r="R40" s="261"/>
      <c r="S40" s="261"/>
      <c r="T40" s="183">
        <f>IF($B$10&gt;3,ROUND($B40*$S$36*(1+$H$13)*(1+$L$13)*(1+$P$13)*(1+$T$13),0),0)</f>
        <v>0</v>
      </c>
      <c r="U40" s="622"/>
      <c r="V40" s="261"/>
      <c r="W40" s="261"/>
      <c r="X40" s="183">
        <f>IF($B$10&gt;4,ROUND($B40*$W$36*(1+$H$13)*(1+$L$13)*(1+$P$13)*(1+$T$13)*(1+$X$13),0),0)</f>
        <v>0</v>
      </c>
      <c r="Y40" s="363">
        <f t="shared" si="27"/>
        <v>0</v>
      </c>
      <c r="Z40" s="341" t="s">
        <v>86</v>
      </c>
    </row>
    <row r="41" spans="1:33" ht="13.5" outlineLevel="1" thickBot="1" x14ac:dyDescent="0.25">
      <c r="A41" s="258" t="s">
        <v>87</v>
      </c>
      <c r="B41" s="120"/>
      <c r="C41" s="224"/>
      <c r="D41" s="261"/>
      <c r="E41" s="261"/>
      <c r="F41" s="261"/>
      <c r="G41" s="261"/>
      <c r="H41" s="184">
        <f>B41*$G$36*(1+$H$13)</f>
        <v>0</v>
      </c>
      <c r="I41" s="622"/>
      <c r="J41" s="261"/>
      <c r="K41" s="261"/>
      <c r="L41" s="183">
        <f>IF($B$10&gt;1,ROUND($B41*$K$36*(1+$H$13)*(1+$L$13),0),0)</f>
        <v>0</v>
      </c>
      <c r="M41" s="622"/>
      <c r="N41" s="261"/>
      <c r="O41" s="261"/>
      <c r="P41" s="183">
        <f>IF($B$10&gt;2,ROUND($B41*$O$36*(1+$H$13)*(1+$L$13)*(1+$P$13),0),0)</f>
        <v>0</v>
      </c>
      <c r="Q41" s="622"/>
      <c r="R41" s="261"/>
      <c r="S41" s="261"/>
      <c r="T41" s="183">
        <f>IF($B$10&gt;3,ROUND($B41*$S$36*(1+$H$13)*(1+$L$13)*(1+$P$13)*(1+$T$13),0),0)</f>
        <v>0</v>
      </c>
      <c r="U41" s="622"/>
      <c r="V41" s="261"/>
      <c r="W41" s="261"/>
      <c r="X41" s="183">
        <f>IF($B$10&gt;4,ROUND($B41*$W$36*(1+$H$13)*(1+$L$13)*(1+$P$13)*(1+$T$13)*(1+$X$13),0),0)</f>
        <v>0</v>
      </c>
      <c r="Y41" s="364">
        <f t="shared" si="27"/>
        <v>0</v>
      </c>
      <c r="Z41" s="341" t="s">
        <v>88</v>
      </c>
    </row>
    <row r="42" spans="1:33" ht="13.5" outlineLevel="1" thickBot="1" x14ac:dyDescent="0.25">
      <c r="A42" s="282" t="s">
        <v>89</v>
      </c>
      <c r="B42" s="283"/>
      <c r="C42" s="283"/>
      <c r="D42" s="265"/>
      <c r="E42" s="265"/>
      <c r="F42" s="265"/>
      <c r="G42" s="265"/>
      <c r="H42" s="185">
        <f>SUM(H37:H41)</f>
        <v>0</v>
      </c>
      <c r="I42" s="623"/>
      <c r="J42" s="265"/>
      <c r="K42" s="265"/>
      <c r="L42" s="185">
        <f>SUM(L37:L41)</f>
        <v>0</v>
      </c>
      <c r="M42" s="623"/>
      <c r="N42" s="265"/>
      <c r="O42" s="265"/>
      <c r="P42" s="185">
        <f>SUM(P37:P41)</f>
        <v>0</v>
      </c>
      <c r="Q42" s="623"/>
      <c r="R42" s="265"/>
      <c r="S42" s="265"/>
      <c r="T42" s="185">
        <f>SUM(T37:T41)</f>
        <v>0</v>
      </c>
      <c r="U42" s="623"/>
      <c r="V42" s="265"/>
      <c r="W42" s="265"/>
      <c r="X42" s="185">
        <f>SUM(X37:X41)</f>
        <v>0</v>
      </c>
      <c r="Y42" s="362">
        <f t="shared" si="27"/>
        <v>0</v>
      </c>
      <c r="Z42" s="345" t="s">
        <v>90</v>
      </c>
    </row>
    <row r="43" spans="1:33" x14ac:dyDescent="0.2">
      <c r="A43" s="285" t="s">
        <v>91</v>
      </c>
      <c r="B43" s="723" t="s">
        <v>92</v>
      </c>
      <c r="C43" s="724"/>
      <c r="D43" s="724"/>
      <c r="E43" s="724"/>
      <c r="F43" s="724"/>
      <c r="G43" s="315"/>
      <c r="H43" s="316" t="s">
        <v>37</v>
      </c>
      <c r="I43" s="624"/>
      <c r="J43" s="317"/>
      <c r="K43" s="317"/>
      <c r="L43" s="316" t="s">
        <v>38</v>
      </c>
      <c r="M43" s="624"/>
      <c r="N43" s="317"/>
      <c r="O43" s="317"/>
      <c r="P43" s="316" t="s">
        <v>39</v>
      </c>
      <c r="Q43" s="624"/>
      <c r="R43" s="317"/>
      <c r="S43" s="317"/>
      <c r="T43" s="316" t="s">
        <v>40</v>
      </c>
      <c r="U43" s="624"/>
      <c r="V43" s="317"/>
      <c r="W43" s="317"/>
      <c r="X43" s="316" t="s">
        <v>41</v>
      </c>
      <c r="Y43" s="366"/>
      <c r="Z43" s="575" t="s">
        <v>91</v>
      </c>
    </row>
    <row r="44" spans="1:33" ht="13.5" thickBot="1" x14ac:dyDescent="0.25">
      <c r="A44" s="258" t="s">
        <v>93</v>
      </c>
      <c r="B44" s="114"/>
      <c r="C44" s="224"/>
      <c r="D44" s="261"/>
      <c r="E44" s="261"/>
      <c r="F44" s="261"/>
      <c r="G44" s="261"/>
      <c r="H44" s="117">
        <f t="shared" ref="H44:H53" si="28">$B44*(1+$H$13)</f>
        <v>0</v>
      </c>
      <c r="I44" s="619"/>
      <c r="J44" s="261"/>
      <c r="K44" s="261"/>
      <c r="L44" s="117">
        <f t="shared" ref="L44:L53" si="29">IF($B$10&gt;1,ROUND($B44*(1+$H$13)*(1+$L$13),0),0)</f>
        <v>0</v>
      </c>
      <c r="M44" s="619"/>
      <c r="N44" s="261"/>
      <c r="O44" s="261"/>
      <c r="P44" s="117">
        <f t="shared" ref="P44:P53" si="30">IF($B$10&gt;2,ROUND($B44*(1+$H$13)*(1+$L$13)*(1+$P$13),0),0)</f>
        <v>0</v>
      </c>
      <c r="Q44" s="619"/>
      <c r="R44" s="261"/>
      <c r="S44" s="261"/>
      <c r="T44" s="117">
        <f t="shared" ref="T44:T53" si="31">IF($B$10&gt;3,ROUND($B44*(1+$H$13)*(1+$L$13)*(1+$P$13)*(1+$T$13),0),0)</f>
        <v>0</v>
      </c>
      <c r="U44" s="619"/>
      <c r="V44" s="261"/>
      <c r="W44" s="261"/>
      <c r="X44" s="117">
        <v>0</v>
      </c>
      <c r="Y44" s="361">
        <f t="shared" ref="Y44:Y53" si="32">SUM(X44,T44,P44,L44,H44)</f>
        <v>0</v>
      </c>
      <c r="Z44" s="577" t="s">
        <v>93</v>
      </c>
    </row>
    <row r="45" spans="1:33" x14ac:dyDescent="0.2">
      <c r="A45" s="258" t="s">
        <v>94</v>
      </c>
      <c r="B45" s="114"/>
      <c r="C45" s="224"/>
      <c r="D45" s="261"/>
      <c r="E45" s="261"/>
      <c r="F45" s="261"/>
      <c r="G45" s="261"/>
      <c r="H45" s="121">
        <f t="shared" si="28"/>
        <v>0</v>
      </c>
      <c r="I45" s="619"/>
      <c r="J45" s="261"/>
      <c r="K45" s="261"/>
      <c r="L45" s="121">
        <f t="shared" si="29"/>
        <v>0</v>
      </c>
      <c r="M45" s="619"/>
      <c r="N45" s="261"/>
      <c r="O45" s="261"/>
      <c r="P45" s="121">
        <f t="shared" si="30"/>
        <v>0</v>
      </c>
      <c r="Q45" s="619"/>
      <c r="R45" s="261"/>
      <c r="S45" s="261"/>
      <c r="T45" s="121">
        <f t="shared" si="31"/>
        <v>0</v>
      </c>
      <c r="U45" s="619"/>
      <c r="V45" s="261"/>
      <c r="W45" s="261"/>
      <c r="X45" s="121">
        <f t="shared" ref="X45:X53" si="33">IF($B$10&gt;4,ROUND($B45*(1+$H$13)*(1+$L$13)*(1+$P$13)*(1+$T$13)*(1+$X$13),0),0)</f>
        <v>0</v>
      </c>
      <c r="Y45" s="365">
        <f t="shared" si="32"/>
        <v>0</v>
      </c>
      <c r="Z45" s="577" t="s">
        <v>94</v>
      </c>
      <c r="AB45" s="582" t="s">
        <v>178</v>
      </c>
      <c r="AC45" s="583"/>
      <c r="AD45" s="584"/>
      <c r="AE45" s="585"/>
      <c r="AF45" s="586"/>
      <c r="AG45" s="587"/>
    </row>
    <row r="46" spans="1:33" x14ac:dyDescent="0.2">
      <c r="A46" s="258" t="s">
        <v>95</v>
      </c>
      <c r="B46" s="114"/>
      <c r="C46" s="224"/>
      <c r="D46" s="261"/>
      <c r="E46" s="261"/>
      <c r="F46" s="261"/>
      <c r="G46" s="261"/>
      <c r="H46" s="121">
        <f t="shared" si="28"/>
        <v>0</v>
      </c>
      <c r="I46" s="619"/>
      <c r="J46" s="261"/>
      <c r="K46" s="261"/>
      <c r="L46" s="121">
        <f t="shared" si="29"/>
        <v>0</v>
      </c>
      <c r="M46" s="619"/>
      <c r="N46" s="261"/>
      <c r="O46" s="261"/>
      <c r="P46" s="121">
        <f t="shared" si="30"/>
        <v>0</v>
      </c>
      <c r="Q46" s="619"/>
      <c r="R46" s="261"/>
      <c r="S46" s="261"/>
      <c r="T46" s="121">
        <f t="shared" si="31"/>
        <v>0</v>
      </c>
      <c r="U46" s="619"/>
      <c r="V46" s="261"/>
      <c r="W46" s="261"/>
      <c r="X46" s="121">
        <f t="shared" si="33"/>
        <v>0</v>
      </c>
      <c r="Y46" s="365">
        <f t="shared" si="32"/>
        <v>0</v>
      </c>
      <c r="Z46" s="577" t="s">
        <v>95</v>
      </c>
      <c r="AB46" s="588">
        <v>0</v>
      </c>
      <c r="AC46" s="1" t="s">
        <v>179</v>
      </c>
      <c r="AG46" s="589"/>
    </row>
    <row r="47" spans="1:33" x14ac:dyDescent="0.2">
      <c r="A47" s="258" t="s">
        <v>171</v>
      </c>
      <c r="B47" s="103"/>
      <c r="C47" s="224"/>
      <c r="D47" s="224"/>
      <c r="E47" s="224"/>
      <c r="F47" s="224"/>
      <c r="G47" s="261"/>
      <c r="H47" s="121">
        <f t="shared" si="28"/>
        <v>0</v>
      </c>
      <c r="I47" s="619"/>
      <c r="J47" s="263"/>
      <c r="K47" s="261"/>
      <c r="L47" s="121">
        <f t="shared" si="29"/>
        <v>0</v>
      </c>
      <c r="M47" s="619"/>
      <c r="N47" s="263"/>
      <c r="O47" s="261"/>
      <c r="P47" s="121">
        <f t="shared" si="30"/>
        <v>0</v>
      </c>
      <c r="Q47" s="619"/>
      <c r="R47" s="263"/>
      <c r="S47" s="261"/>
      <c r="T47" s="121">
        <f t="shared" si="31"/>
        <v>0</v>
      </c>
      <c r="U47" s="619"/>
      <c r="V47" s="263"/>
      <c r="W47" s="261"/>
      <c r="X47" s="121">
        <f t="shared" si="33"/>
        <v>0</v>
      </c>
      <c r="Y47" s="365">
        <f t="shared" si="32"/>
        <v>0</v>
      </c>
      <c r="Z47" s="577" t="s">
        <v>186</v>
      </c>
      <c r="AB47" s="588">
        <v>0</v>
      </c>
      <c r="AC47" s="1" t="s">
        <v>180</v>
      </c>
      <c r="AG47" s="589"/>
    </row>
    <row r="48" spans="1:33" x14ac:dyDescent="0.2">
      <c r="A48" s="258" t="s">
        <v>172</v>
      </c>
      <c r="B48" s="103"/>
      <c r="C48" s="224"/>
      <c r="D48" s="224"/>
      <c r="E48" s="224"/>
      <c r="F48" s="224"/>
      <c r="G48" s="261"/>
      <c r="H48" s="121">
        <f t="shared" si="28"/>
        <v>0</v>
      </c>
      <c r="I48" s="619"/>
      <c r="J48" s="263"/>
      <c r="K48" s="261"/>
      <c r="L48" s="121">
        <f t="shared" si="29"/>
        <v>0</v>
      </c>
      <c r="M48" s="619"/>
      <c r="N48" s="263"/>
      <c r="O48" s="261"/>
      <c r="P48" s="121">
        <f t="shared" si="30"/>
        <v>0</v>
      </c>
      <c r="Q48" s="619"/>
      <c r="R48" s="263"/>
      <c r="S48" s="261"/>
      <c r="T48" s="121">
        <f t="shared" si="31"/>
        <v>0</v>
      </c>
      <c r="U48" s="619"/>
      <c r="V48" s="263"/>
      <c r="W48" s="261"/>
      <c r="X48" s="121">
        <f t="shared" si="33"/>
        <v>0</v>
      </c>
      <c r="Y48" s="365">
        <f t="shared" ref="Y48" si="34">SUM(X48,T48,P48,L48,H48)</f>
        <v>0</v>
      </c>
      <c r="Z48" s="577" t="s">
        <v>172</v>
      </c>
      <c r="AB48" s="588">
        <v>0</v>
      </c>
      <c r="AC48" s="1" t="s">
        <v>181</v>
      </c>
      <c r="AG48" s="589"/>
    </row>
    <row r="49" spans="1:85" x14ac:dyDescent="0.2">
      <c r="A49" s="258" t="s">
        <v>96</v>
      </c>
      <c r="B49" s="103"/>
      <c r="C49" s="224"/>
      <c r="D49" s="224"/>
      <c r="E49" s="224"/>
      <c r="F49" s="224"/>
      <c r="G49" s="261"/>
      <c r="H49" s="121">
        <f t="shared" si="28"/>
        <v>0</v>
      </c>
      <c r="I49" s="619"/>
      <c r="J49" s="263"/>
      <c r="K49" s="261"/>
      <c r="L49" s="121">
        <f t="shared" si="29"/>
        <v>0</v>
      </c>
      <c r="M49" s="619"/>
      <c r="N49" s="263"/>
      <c r="O49" s="261"/>
      <c r="P49" s="121">
        <f t="shared" si="30"/>
        <v>0</v>
      </c>
      <c r="Q49" s="619"/>
      <c r="R49" s="263"/>
      <c r="S49" s="261"/>
      <c r="T49" s="121">
        <f t="shared" si="31"/>
        <v>0</v>
      </c>
      <c r="U49" s="619"/>
      <c r="V49" s="263"/>
      <c r="W49" s="261"/>
      <c r="X49" s="121">
        <f t="shared" si="33"/>
        <v>0</v>
      </c>
      <c r="Y49" s="365">
        <f t="shared" si="32"/>
        <v>0</v>
      </c>
      <c r="Z49" s="577" t="s">
        <v>96</v>
      </c>
      <c r="AB49" s="588">
        <v>0</v>
      </c>
      <c r="AC49" s="1" t="s">
        <v>182</v>
      </c>
      <c r="AG49" s="589"/>
    </row>
    <row r="50" spans="1:85" x14ac:dyDescent="0.2">
      <c r="A50" s="258" t="s">
        <v>173</v>
      </c>
      <c r="B50" s="103"/>
      <c r="C50" s="224"/>
      <c r="D50" s="224"/>
      <c r="E50" s="224"/>
      <c r="F50" s="224"/>
      <c r="G50" s="261"/>
      <c r="H50" s="121">
        <f t="shared" si="28"/>
        <v>0</v>
      </c>
      <c r="I50" s="619"/>
      <c r="J50" s="263"/>
      <c r="K50" s="261"/>
      <c r="L50" s="121">
        <f t="shared" si="29"/>
        <v>0</v>
      </c>
      <c r="M50" s="619"/>
      <c r="N50" s="263"/>
      <c r="O50" s="261"/>
      <c r="P50" s="121">
        <f t="shared" si="30"/>
        <v>0</v>
      </c>
      <c r="Q50" s="619"/>
      <c r="R50" s="263"/>
      <c r="S50" s="261"/>
      <c r="T50" s="121">
        <f t="shared" si="31"/>
        <v>0</v>
      </c>
      <c r="U50" s="619"/>
      <c r="V50" s="263"/>
      <c r="W50" s="261"/>
      <c r="X50" s="121">
        <f t="shared" si="33"/>
        <v>0</v>
      </c>
      <c r="Y50" s="365">
        <f t="shared" si="32"/>
        <v>0</v>
      </c>
      <c r="Z50" s="577" t="s">
        <v>173</v>
      </c>
      <c r="AB50" s="588">
        <v>0</v>
      </c>
      <c r="AC50" s="1" t="s">
        <v>187</v>
      </c>
      <c r="AG50" s="589"/>
    </row>
    <row r="51" spans="1:85" x14ac:dyDescent="0.2">
      <c r="A51" s="258" t="s">
        <v>177</v>
      </c>
      <c r="B51" s="103"/>
      <c r="C51" s="224"/>
      <c r="D51" s="224"/>
      <c r="E51" s="224"/>
      <c r="F51" s="224"/>
      <c r="G51" s="261"/>
      <c r="H51" s="121">
        <f t="shared" si="28"/>
        <v>0</v>
      </c>
      <c r="I51" s="619"/>
      <c r="J51" s="263"/>
      <c r="K51" s="261"/>
      <c r="L51" s="121">
        <f t="shared" si="29"/>
        <v>0</v>
      </c>
      <c r="M51" s="619"/>
      <c r="N51" s="263"/>
      <c r="O51" s="261"/>
      <c r="P51" s="121">
        <f t="shared" si="30"/>
        <v>0</v>
      </c>
      <c r="Q51" s="619"/>
      <c r="R51" s="263"/>
      <c r="S51" s="261"/>
      <c r="T51" s="121">
        <f t="shared" si="31"/>
        <v>0</v>
      </c>
      <c r="U51" s="619"/>
      <c r="V51" s="263"/>
      <c r="W51" s="261"/>
      <c r="X51" s="121">
        <f t="shared" si="33"/>
        <v>0</v>
      </c>
      <c r="Y51" s="365">
        <f t="shared" ref="Y51" si="35">SUM(X51,T51,P51,L51,H51)</f>
        <v>0</v>
      </c>
      <c r="Z51" s="577" t="s">
        <v>177</v>
      </c>
      <c r="AB51" s="590">
        <f>Y51</f>
        <v>0</v>
      </c>
      <c r="AC51" s="1" t="s">
        <v>183</v>
      </c>
      <c r="AG51" s="589"/>
    </row>
    <row r="52" spans="1:85" x14ac:dyDescent="0.2">
      <c r="A52" s="258" t="s">
        <v>97</v>
      </c>
      <c r="B52" s="103"/>
      <c r="C52" s="224"/>
      <c r="D52" s="224"/>
      <c r="E52" s="224"/>
      <c r="F52" s="224"/>
      <c r="G52" s="261"/>
      <c r="H52" s="121">
        <f t="shared" si="28"/>
        <v>0</v>
      </c>
      <c r="I52" s="619"/>
      <c r="J52" s="263"/>
      <c r="K52" s="261"/>
      <c r="L52" s="121">
        <f t="shared" si="29"/>
        <v>0</v>
      </c>
      <c r="M52" s="619"/>
      <c r="N52" s="263"/>
      <c r="O52" s="261"/>
      <c r="P52" s="121">
        <f t="shared" si="30"/>
        <v>0</v>
      </c>
      <c r="Q52" s="619"/>
      <c r="R52" s="263"/>
      <c r="S52" s="261"/>
      <c r="T52" s="121">
        <f t="shared" si="31"/>
        <v>0</v>
      </c>
      <c r="U52" s="619"/>
      <c r="V52" s="263"/>
      <c r="W52" s="261"/>
      <c r="X52" s="121">
        <f t="shared" si="33"/>
        <v>0</v>
      </c>
      <c r="Y52" s="365">
        <f t="shared" ref="Y52" si="36">SUM(X52,T52,P52,L52,H52)</f>
        <v>0</v>
      </c>
      <c r="Z52" s="577" t="s">
        <v>97</v>
      </c>
      <c r="AB52" s="590">
        <f>SUM(AB46:AB51)</f>
        <v>0</v>
      </c>
      <c r="AC52" s="1" t="s">
        <v>184</v>
      </c>
      <c r="AG52" s="589"/>
    </row>
    <row r="53" spans="1:85" ht="13.5" thickBot="1" x14ac:dyDescent="0.25">
      <c r="A53" s="258" t="s">
        <v>97</v>
      </c>
      <c r="B53" s="103"/>
      <c r="C53" s="224"/>
      <c r="D53" s="224"/>
      <c r="E53" s="224"/>
      <c r="F53" s="224"/>
      <c r="G53" s="261"/>
      <c r="H53" s="121">
        <f t="shared" si="28"/>
        <v>0</v>
      </c>
      <c r="I53" s="619"/>
      <c r="J53" s="263"/>
      <c r="K53" s="261"/>
      <c r="L53" s="121">
        <f t="shared" si="29"/>
        <v>0</v>
      </c>
      <c r="M53" s="619"/>
      <c r="N53" s="263"/>
      <c r="O53" s="261"/>
      <c r="P53" s="121">
        <f t="shared" si="30"/>
        <v>0</v>
      </c>
      <c r="Q53" s="619"/>
      <c r="R53" s="263"/>
      <c r="S53" s="261"/>
      <c r="T53" s="121">
        <f t="shared" si="31"/>
        <v>0</v>
      </c>
      <c r="U53" s="619"/>
      <c r="V53" s="263"/>
      <c r="W53" s="261"/>
      <c r="X53" s="121">
        <f t="shared" si="33"/>
        <v>0</v>
      </c>
      <c r="Y53" s="365">
        <f t="shared" si="32"/>
        <v>0</v>
      </c>
      <c r="Z53" s="577" t="s">
        <v>97</v>
      </c>
      <c r="AB53" s="595" t="e">
        <f>AB52/Y78</f>
        <v>#DIV/0!</v>
      </c>
      <c r="AC53" s="591" t="s">
        <v>185</v>
      </c>
      <c r="AD53" s="592"/>
      <c r="AE53" s="593"/>
      <c r="AF53" s="591"/>
      <c r="AG53" s="594"/>
    </row>
    <row r="54" spans="1:85" ht="13.5" thickBot="1" x14ac:dyDescent="0.25">
      <c r="A54" s="282" t="s">
        <v>98</v>
      </c>
      <c r="B54" s="266"/>
      <c r="C54" s="266"/>
      <c r="D54" s="266"/>
      <c r="E54" s="266"/>
      <c r="F54" s="266"/>
      <c r="G54" s="265"/>
      <c r="H54" s="186">
        <f>SUM(H44:H53)</f>
        <v>0</v>
      </c>
      <c r="I54" s="620"/>
      <c r="J54" s="265"/>
      <c r="K54" s="265"/>
      <c r="L54" s="186">
        <f>SUM(L44:L53)</f>
        <v>0</v>
      </c>
      <c r="M54" s="620"/>
      <c r="N54" s="265"/>
      <c r="O54" s="265"/>
      <c r="P54" s="186">
        <f>SUM(P44:P53)</f>
        <v>0</v>
      </c>
      <c r="Q54" s="620"/>
      <c r="R54" s="265"/>
      <c r="S54" s="265"/>
      <c r="T54" s="186">
        <f>SUM(T44:T53)</f>
        <v>0</v>
      </c>
      <c r="U54" s="620"/>
      <c r="V54" s="265"/>
      <c r="W54" s="265"/>
      <c r="X54" s="186">
        <f>SUM(X44:X53)</f>
        <v>0</v>
      </c>
      <c r="Y54" s="362">
        <f>SUM(Y44:Y53)</f>
        <v>0</v>
      </c>
      <c r="Z54" s="345" t="s">
        <v>99</v>
      </c>
      <c r="AA54" s="3"/>
      <c r="AB54" s="3"/>
      <c r="AC54" s="14"/>
    </row>
    <row r="55" spans="1:85" ht="17.25" customHeight="1" outlineLevel="1" x14ac:dyDescent="0.2">
      <c r="A55" s="294" t="s">
        <v>100</v>
      </c>
      <c r="B55" s="698" t="s">
        <v>101</v>
      </c>
      <c r="C55" s="699"/>
      <c r="D55" s="699"/>
      <c r="E55" s="699"/>
      <c r="F55" s="699"/>
      <c r="G55" s="699"/>
      <c r="H55" s="318"/>
      <c r="I55" s="625"/>
      <c r="J55" s="263"/>
      <c r="K55" s="261"/>
      <c r="L55" s="319"/>
      <c r="M55" s="625"/>
      <c r="N55" s="263"/>
      <c r="O55" s="261"/>
      <c r="P55" s="319"/>
      <c r="Q55" s="625"/>
      <c r="R55" s="263"/>
      <c r="S55" s="261"/>
      <c r="T55" s="319"/>
      <c r="U55" s="625"/>
      <c r="V55" s="263"/>
      <c r="W55" s="261"/>
      <c r="X55" s="319"/>
      <c r="Y55" s="320"/>
      <c r="Z55" s="576" t="s">
        <v>100</v>
      </c>
      <c r="AA55" s="12"/>
      <c r="AB55" s="12"/>
      <c r="AC55" s="13"/>
      <c r="AD55" s="14"/>
      <c r="AE55" s="2"/>
      <c r="AF55" s="3"/>
    </row>
    <row r="56" spans="1:85" s="20" customFormat="1" outlineLevel="1" x14ac:dyDescent="0.2">
      <c r="A56" s="122" t="s">
        <v>102</v>
      </c>
      <c r="B56" s="225" t="s">
        <v>103</v>
      </c>
      <c r="C56" s="739"/>
      <c r="D56" s="740"/>
      <c r="E56" s="740"/>
      <c r="F56" s="740"/>
      <c r="G56" s="740"/>
      <c r="H56" s="291" t="s">
        <v>37</v>
      </c>
      <c r="I56" s="601"/>
      <c r="J56" s="321"/>
      <c r="K56" s="321"/>
      <c r="L56" s="291" t="s">
        <v>38</v>
      </c>
      <c r="M56" s="601"/>
      <c r="N56" s="321"/>
      <c r="O56" s="321"/>
      <c r="P56" s="291" t="s">
        <v>39</v>
      </c>
      <c r="Q56" s="601"/>
      <c r="R56" s="321"/>
      <c r="S56" s="321"/>
      <c r="T56" s="291" t="s">
        <v>40</v>
      </c>
      <c r="U56" s="601"/>
      <c r="V56" s="321"/>
      <c r="W56" s="321"/>
      <c r="X56" s="291" t="s">
        <v>41</v>
      </c>
      <c r="Y56" s="286"/>
      <c r="Z56" s="346"/>
      <c r="AA56" s="15"/>
      <c r="AB56" s="15"/>
      <c r="AC56" s="16"/>
      <c r="AD56" s="17"/>
      <c r="AE56" s="18"/>
      <c r="AF56" s="19"/>
    </row>
    <row r="57" spans="1:85" s="20" customFormat="1" outlineLevel="1" x14ac:dyDescent="0.2">
      <c r="A57" s="295" t="s">
        <v>104</v>
      </c>
      <c r="B57" s="296"/>
      <c r="C57" s="297"/>
      <c r="D57" s="224"/>
      <c r="E57" s="224"/>
      <c r="F57" s="224"/>
      <c r="G57" s="298"/>
      <c r="H57" s="112"/>
      <c r="I57" s="619"/>
      <c r="J57" s="263"/>
      <c r="K57" s="261"/>
      <c r="L57" s="112"/>
      <c r="M57" s="619"/>
      <c r="N57" s="263"/>
      <c r="O57" s="261"/>
      <c r="P57" s="112"/>
      <c r="Q57" s="619"/>
      <c r="R57" s="263"/>
      <c r="S57" s="261"/>
      <c r="T57" s="112"/>
      <c r="U57" s="619"/>
      <c r="V57" s="263"/>
      <c r="W57" s="261"/>
      <c r="X57" s="112"/>
      <c r="Y57" s="158">
        <f>SUM(X57,T57,P57,L57,H57)</f>
        <v>0</v>
      </c>
      <c r="Z57" s="341" t="s">
        <v>104</v>
      </c>
      <c r="AA57" s="15"/>
      <c r="AB57" s="15"/>
      <c r="AC57" s="16"/>
      <c r="AD57" s="21"/>
      <c r="AE57" s="18"/>
      <c r="AF57" s="19"/>
    </row>
    <row r="58" spans="1:85" s="27" customFormat="1" ht="13.5" outlineLevel="1" thickBot="1" x14ac:dyDescent="0.25">
      <c r="A58" s="295" t="s">
        <v>105</v>
      </c>
      <c r="B58" s="296"/>
      <c r="C58" s="299"/>
      <c r="D58" s="225"/>
      <c r="E58" s="225"/>
      <c r="F58" s="224"/>
      <c r="G58" s="298"/>
      <c r="H58" s="120"/>
      <c r="I58" s="619"/>
      <c r="J58" s="263"/>
      <c r="K58" s="261"/>
      <c r="L58" s="120"/>
      <c r="M58" s="619"/>
      <c r="N58" s="263"/>
      <c r="O58" s="261"/>
      <c r="P58" s="120"/>
      <c r="Q58" s="619"/>
      <c r="R58" s="263"/>
      <c r="S58" s="261"/>
      <c r="T58" s="120"/>
      <c r="U58" s="619"/>
      <c r="V58" s="263"/>
      <c r="W58" s="261"/>
      <c r="X58" s="120"/>
      <c r="Y58" s="158">
        <f>SUM(X58,T58,P58,L58,H58)</f>
        <v>0</v>
      </c>
      <c r="Z58" s="341" t="s">
        <v>105</v>
      </c>
      <c r="AA58" s="22"/>
      <c r="AB58" s="22"/>
      <c r="AC58" s="23"/>
      <c r="AD58" s="24"/>
      <c r="AE58" s="25"/>
      <c r="AF58" s="26"/>
    </row>
    <row r="59" spans="1:85" s="27" customFormat="1" ht="13.5" outlineLevel="1" thickBot="1" x14ac:dyDescent="0.25">
      <c r="A59" s="300" t="s">
        <v>106</v>
      </c>
      <c r="B59" s="301"/>
      <c r="C59" s="628"/>
      <c r="D59" s="629"/>
      <c r="E59" s="629"/>
      <c r="F59" s="632" t="s">
        <v>107</v>
      </c>
      <c r="G59" s="193">
        <f>IF(H59&gt;=25000,25000,H59)</f>
        <v>0</v>
      </c>
      <c r="H59" s="453">
        <f>ROUND(SUM(H57:H58),0)</f>
        <v>0</v>
      </c>
      <c r="I59" s="626"/>
      <c r="J59" s="632" t="s">
        <v>107</v>
      </c>
      <c r="K59" s="195">
        <f>IF((L59+G59)&gt;=25000,25000-G59,L59)</f>
        <v>0</v>
      </c>
      <c r="L59" s="453">
        <f>ROUND(SUM(L57:L58),0)</f>
        <v>0</v>
      </c>
      <c r="M59" s="626"/>
      <c r="N59" s="632" t="s">
        <v>107</v>
      </c>
      <c r="O59" s="195">
        <f>IF((P59+K59+G59)&gt;=25000,25000-K59-G59,P59)</f>
        <v>0</v>
      </c>
      <c r="P59" s="453">
        <f>ROUND(SUM(P57:P58),0)</f>
        <v>0</v>
      </c>
      <c r="Q59" s="626"/>
      <c r="R59" s="632" t="s">
        <v>107</v>
      </c>
      <c r="S59" s="195">
        <f>IF((T59+O59+K59+G59)&gt;=25000,25000-O59-K59-G59,T59)</f>
        <v>0</v>
      </c>
      <c r="T59" s="453">
        <f>ROUND(SUM(T57:T58),0)</f>
        <v>0</v>
      </c>
      <c r="U59" s="626"/>
      <c r="V59" s="632" t="s">
        <v>107</v>
      </c>
      <c r="W59" s="195">
        <f>IF((X59+S59+O59+K59+G59)&gt;=25000,25000-S59-O59-K59-G59,X59)</f>
        <v>0</v>
      </c>
      <c r="X59" s="453">
        <f>ROUND(SUM(X57:X58),0)</f>
        <v>0</v>
      </c>
      <c r="Y59" s="159">
        <f>SUM(H59,L59,P59,T59,X59)</f>
        <v>0</v>
      </c>
      <c r="Z59" s="337" t="s">
        <v>108</v>
      </c>
      <c r="AA59" s="22"/>
      <c r="AB59" s="22"/>
      <c r="AC59" s="23"/>
      <c r="AD59" s="24"/>
      <c r="AE59" s="25"/>
      <c r="AF59" s="26"/>
    </row>
    <row r="60" spans="1:85" s="34" customFormat="1" outlineLevel="1" x14ac:dyDescent="0.2">
      <c r="A60" s="122" t="s">
        <v>102</v>
      </c>
      <c r="B60" s="225" t="s">
        <v>109</v>
      </c>
      <c r="C60" s="297"/>
      <c r="D60" s="224"/>
      <c r="E60" s="224"/>
      <c r="F60" s="633"/>
      <c r="G60" s="298"/>
      <c r="H60" s="291" t="s">
        <v>37</v>
      </c>
      <c r="I60" s="601"/>
      <c r="J60" s="633"/>
      <c r="K60" s="321"/>
      <c r="L60" s="291" t="s">
        <v>38</v>
      </c>
      <c r="M60" s="601"/>
      <c r="N60" s="633"/>
      <c r="O60" s="321"/>
      <c r="P60" s="291" t="s">
        <v>39</v>
      </c>
      <c r="Q60" s="601"/>
      <c r="R60" s="633"/>
      <c r="S60" s="321"/>
      <c r="T60" s="291" t="s">
        <v>40</v>
      </c>
      <c r="U60" s="601"/>
      <c r="V60" s="633"/>
      <c r="W60" s="321"/>
      <c r="X60" s="291" t="s">
        <v>41</v>
      </c>
      <c r="Y60" s="286"/>
      <c r="Z60" s="347"/>
      <c r="AA60" s="28"/>
      <c r="AB60" s="28"/>
      <c r="AC60" s="29"/>
      <c r="AD60" s="30"/>
      <c r="AE60" s="31"/>
      <c r="AF60" s="32"/>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row>
    <row r="61" spans="1:85" s="33" customFormat="1" outlineLevel="1" x14ac:dyDescent="0.2">
      <c r="A61" s="295" t="s">
        <v>104</v>
      </c>
      <c r="B61" s="303"/>
      <c r="C61" s="299"/>
      <c r="D61" s="224"/>
      <c r="E61" s="224"/>
      <c r="F61" s="634"/>
      <c r="G61" s="298"/>
      <c r="H61" s="112"/>
      <c r="I61" s="619"/>
      <c r="J61" s="634"/>
      <c r="K61" s="261"/>
      <c r="L61" s="112"/>
      <c r="M61" s="619"/>
      <c r="N61" s="634"/>
      <c r="O61" s="261"/>
      <c r="P61" s="112"/>
      <c r="Q61" s="619"/>
      <c r="R61" s="634"/>
      <c r="S61" s="261"/>
      <c r="T61" s="112"/>
      <c r="U61" s="619"/>
      <c r="V61" s="634"/>
      <c r="W61" s="261"/>
      <c r="X61" s="112"/>
      <c r="Y61" s="158">
        <f>SUM(X61,T61,P61,L61,H61)</f>
        <v>0</v>
      </c>
      <c r="Z61" s="331" t="s">
        <v>104</v>
      </c>
      <c r="AA61" s="28"/>
      <c r="AB61" s="28"/>
      <c r="AC61" s="35"/>
      <c r="AD61" s="30"/>
      <c r="AE61" s="31"/>
      <c r="AF61" s="32"/>
    </row>
    <row r="62" spans="1:85" s="33" customFormat="1" ht="13.5" outlineLevel="1" thickBot="1" x14ac:dyDescent="0.25">
      <c r="A62" s="295" t="s">
        <v>105</v>
      </c>
      <c r="B62" s="303"/>
      <c r="C62" s="299"/>
      <c r="D62" s="224"/>
      <c r="E62" s="224"/>
      <c r="F62" s="634"/>
      <c r="G62" s="298"/>
      <c r="H62" s="120"/>
      <c r="I62" s="619"/>
      <c r="J62" s="634"/>
      <c r="K62" s="261"/>
      <c r="L62" s="120"/>
      <c r="M62" s="619"/>
      <c r="N62" s="634"/>
      <c r="O62" s="261"/>
      <c r="P62" s="120"/>
      <c r="Q62" s="619"/>
      <c r="R62" s="634"/>
      <c r="S62" s="261"/>
      <c r="T62" s="120"/>
      <c r="U62" s="619"/>
      <c r="V62" s="634"/>
      <c r="W62" s="261"/>
      <c r="X62" s="120"/>
      <c r="Y62" s="158">
        <f>SUM(X62,T62,P62,L62,H62)</f>
        <v>0</v>
      </c>
      <c r="Z62" s="331" t="s">
        <v>105</v>
      </c>
      <c r="AA62" s="36"/>
      <c r="AB62" s="36"/>
      <c r="AC62" s="62"/>
      <c r="AD62" s="30"/>
      <c r="AE62" s="31"/>
      <c r="AF62" s="32"/>
    </row>
    <row r="63" spans="1:85" s="33" customFormat="1" ht="13.5" outlineLevel="1" thickBot="1" x14ac:dyDescent="0.25">
      <c r="A63" s="300" t="s">
        <v>110</v>
      </c>
      <c r="B63" s="304"/>
      <c r="C63" s="628"/>
      <c r="D63" s="629"/>
      <c r="E63" s="629"/>
      <c r="F63" s="632" t="s">
        <v>107</v>
      </c>
      <c r="G63" s="193">
        <f>IF(H63&gt;=25000,25000,H63)</f>
        <v>0</v>
      </c>
      <c r="H63" s="453">
        <f>ROUND(SUM(H61:H62),0)</f>
        <v>0</v>
      </c>
      <c r="I63" s="626"/>
      <c r="J63" s="632" t="s">
        <v>107</v>
      </c>
      <c r="K63" s="195">
        <f>IF((L63+G63)&gt;=25000,25000-G63,L63)</f>
        <v>0</v>
      </c>
      <c r="L63" s="453">
        <f>ROUND(SUM(L61:L62),0)</f>
        <v>0</v>
      </c>
      <c r="M63" s="626"/>
      <c r="N63" s="632" t="s">
        <v>107</v>
      </c>
      <c r="O63" s="195">
        <f>IF((P63+K63+G63)&gt;=25000,25000-K63-G63,P63)</f>
        <v>0</v>
      </c>
      <c r="P63" s="453">
        <f>ROUND(SUM(P61:P62),0)</f>
        <v>0</v>
      </c>
      <c r="Q63" s="626"/>
      <c r="R63" s="632" t="s">
        <v>107</v>
      </c>
      <c r="S63" s="195">
        <f>IF((T63+O63+K63+G63)&gt;=25000,25000-O63-K63-G63,T63)</f>
        <v>0</v>
      </c>
      <c r="T63" s="453">
        <f>ROUND(SUM(T61:T62),0)</f>
        <v>0</v>
      </c>
      <c r="U63" s="626"/>
      <c r="V63" s="632" t="s">
        <v>107</v>
      </c>
      <c r="W63" s="195">
        <f>IF((X63+S63+O63+K63+G63)&gt;=25000,25000-S63-O63-K63-G63,X63)</f>
        <v>0</v>
      </c>
      <c r="X63" s="453">
        <f>ROUND(SUM(X61:X62),0)</f>
        <v>0</v>
      </c>
      <c r="Y63" s="159">
        <f>SUM(H63,L63,P63,T63,X63)</f>
        <v>0</v>
      </c>
      <c r="Z63" s="337" t="s">
        <v>111</v>
      </c>
      <c r="AA63" s="36"/>
      <c r="AB63" s="36"/>
      <c r="AC63" s="62"/>
      <c r="AD63" s="30"/>
      <c r="AE63" s="31"/>
      <c r="AF63" s="32"/>
    </row>
    <row r="64" spans="1:85" s="33" customFormat="1" outlineLevel="1" x14ac:dyDescent="0.2">
      <c r="A64" s="122" t="s">
        <v>102</v>
      </c>
      <c r="B64" s="225" t="s">
        <v>112</v>
      </c>
      <c r="C64" s="248"/>
      <c r="D64" s="224"/>
      <c r="E64" s="224"/>
      <c r="F64" s="635"/>
      <c r="G64" s="298"/>
      <c r="H64" s="291" t="s">
        <v>37</v>
      </c>
      <c r="I64" s="601"/>
      <c r="J64" s="635"/>
      <c r="K64" s="321"/>
      <c r="L64" s="291" t="s">
        <v>38</v>
      </c>
      <c r="M64" s="601"/>
      <c r="N64" s="635"/>
      <c r="O64" s="321"/>
      <c r="P64" s="291" t="s">
        <v>39</v>
      </c>
      <c r="Q64" s="601"/>
      <c r="R64" s="635"/>
      <c r="S64" s="321"/>
      <c r="T64" s="291" t="s">
        <v>40</v>
      </c>
      <c r="U64" s="601"/>
      <c r="V64" s="635"/>
      <c r="W64" s="321"/>
      <c r="X64" s="291" t="s">
        <v>41</v>
      </c>
      <c r="Y64" s="286"/>
      <c r="Z64" s="337"/>
      <c r="AA64" s="36"/>
      <c r="AB64" s="36"/>
      <c r="AC64" s="62"/>
      <c r="AD64" s="30"/>
      <c r="AE64" s="31"/>
      <c r="AF64" s="32"/>
    </row>
    <row r="65" spans="1:85" s="33" customFormat="1" outlineLevel="1" x14ac:dyDescent="0.2">
      <c r="A65" s="295" t="s">
        <v>104</v>
      </c>
      <c r="B65" s="306"/>
      <c r="C65" s="299"/>
      <c r="D65" s="224"/>
      <c r="E65" s="224"/>
      <c r="F65" s="634"/>
      <c r="G65" s="298"/>
      <c r="H65" s="112"/>
      <c r="I65" s="619"/>
      <c r="J65" s="634"/>
      <c r="K65" s="261"/>
      <c r="L65" s="112"/>
      <c r="M65" s="619"/>
      <c r="N65" s="634"/>
      <c r="O65" s="261"/>
      <c r="P65" s="112"/>
      <c r="Q65" s="619"/>
      <c r="R65" s="634"/>
      <c r="S65" s="261"/>
      <c r="T65" s="112"/>
      <c r="U65" s="619"/>
      <c r="V65" s="634"/>
      <c r="W65" s="261"/>
      <c r="X65" s="112"/>
      <c r="Y65" s="158">
        <f>SUM(X65,T65,P65,L65,H65)</f>
        <v>0</v>
      </c>
      <c r="Z65" s="348" t="s">
        <v>104</v>
      </c>
      <c r="AA65" s="36"/>
      <c r="AB65" s="36"/>
      <c r="AC65" s="62"/>
      <c r="AD65" s="30"/>
      <c r="AE65" s="31"/>
      <c r="AF65" s="32"/>
    </row>
    <row r="66" spans="1:85" s="33" customFormat="1" ht="13.5" outlineLevel="1" thickBot="1" x14ac:dyDescent="0.25">
      <c r="A66" s="295" t="s">
        <v>105</v>
      </c>
      <c r="B66" s="306"/>
      <c r="C66" s="299"/>
      <c r="D66" s="225"/>
      <c r="E66" s="225"/>
      <c r="F66" s="634"/>
      <c r="G66" s="298"/>
      <c r="H66" s="120"/>
      <c r="I66" s="619"/>
      <c r="J66" s="634"/>
      <c r="K66" s="261"/>
      <c r="L66" s="120"/>
      <c r="M66" s="619"/>
      <c r="N66" s="634"/>
      <c r="O66" s="261"/>
      <c r="P66" s="120"/>
      <c r="Q66" s="619"/>
      <c r="R66" s="634"/>
      <c r="S66" s="261"/>
      <c r="T66" s="120"/>
      <c r="U66" s="619"/>
      <c r="V66" s="634"/>
      <c r="W66" s="261"/>
      <c r="X66" s="120"/>
      <c r="Y66" s="158">
        <f>SUM(X66,T66,P66,L66,H66)</f>
        <v>0</v>
      </c>
      <c r="Z66" s="348" t="s">
        <v>105</v>
      </c>
      <c r="AA66" s="36"/>
      <c r="AB66" s="36"/>
      <c r="AC66" s="62"/>
      <c r="AD66" s="30"/>
      <c r="AE66" s="31"/>
      <c r="AF66" s="32"/>
    </row>
    <row r="67" spans="1:85" s="33" customFormat="1" ht="13.5" outlineLevel="1" thickBot="1" x14ac:dyDescent="0.25">
      <c r="A67" s="300" t="s">
        <v>113</v>
      </c>
      <c r="B67" s="307"/>
      <c r="C67" s="628"/>
      <c r="D67" s="629"/>
      <c r="E67" s="629"/>
      <c r="F67" s="632" t="s">
        <v>107</v>
      </c>
      <c r="G67" s="193">
        <f>IF(H67&gt;=25000,25000,H67)</f>
        <v>0</v>
      </c>
      <c r="H67" s="453">
        <f>ROUND(SUM(H65:H66),0)</f>
        <v>0</v>
      </c>
      <c r="I67" s="626"/>
      <c r="J67" s="632" t="s">
        <v>107</v>
      </c>
      <c r="K67" s="195">
        <f>IF((L67+G67)&gt;=25000,25000-G67,L67)</f>
        <v>0</v>
      </c>
      <c r="L67" s="453">
        <f>ROUND(SUM(L65:L66),0)</f>
        <v>0</v>
      </c>
      <c r="M67" s="626"/>
      <c r="N67" s="632" t="s">
        <v>107</v>
      </c>
      <c r="O67" s="195">
        <f>IF((P67+K67+G67)&gt;=25000,25000-K67-G67,P67)</f>
        <v>0</v>
      </c>
      <c r="P67" s="453">
        <f>ROUND(SUM(P65:P66),0)</f>
        <v>0</v>
      </c>
      <c r="Q67" s="626"/>
      <c r="R67" s="632" t="s">
        <v>107</v>
      </c>
      <c r="S67" s="195">
        <f>IF((T67+O67+K67+G67)&gt;=25000,25000-O67-K67-G67,T67)</f>
        <v>0</v>
      </c>
      <c r="T67" s="453">
        <f>ROUND(SUM(T65:T66),0)</f>
        <v>0</v>
      </c>
      <c r="U67" s="626"/>
      <c r="V67" s="632" t="s">
        <v>107</v>
      </c>
      <c r="W67" s="195">
        <f>IF((X67+S67+O67+K67+G67)&gt;=25000,25000-S67-O67-K67-G67,X67)</f>
        <v>0</v>
      </c>
      <c r="X67" s="453">
        <f>ROUND(SUM(X65:X66),0)</f>
        <v>0</v>
      </c>
      <c r="Y67" s="159">
        <f>SUM(H67,L67,P67,T67,X67)</f>
        <v>0</v>
      </c>
      <c r="Z67" s="337" t="s">
        <v>114</v>
      </c>
      <c r="AA67" s="36"/>
      <c r="AB67" s="36"/>
      <c r="AC67" s="62"/>
      <c r="AD67" s="30"/>
      <c r="AE67" s="31"/>
      <c r="AF67" s="32"/>
    </row>
    <row r="68" spans="1:85" s="33" customFormat="1" outlineLevel="1" x14ac:dyDescent="0.2">
      <c r="A68" s="122" t="s">
        <v>102</v>
      </c>
      <c r="B68" s="225" t="s">
        <v>115</v>
      </c>
      <c r="C68" s="248"/>
      <c r="D68" s="224"/>
      <c r="E68" s="224"/>
      <c r="F68" s="635"/>
      <c r="G68" s="298"/>
      <c r="H68" s="291" t="s">
        <v>37</v>
      </c>
      <c r="I68" s="601"/>
      <c r="J68" s="635"/>
      <c r="K68" s="321"/>
      <c r="L68" s="291" t="s">
        <v>38</v>
      </c>
      <c r="M68" s="601"/>
      <c r="N68" s="635"/>
      <c r="O68" s="321"/>
      <c r="P68" s="291" t="s">
        <v>39</v>
      </c>
      <c r="Q68" s="601"/>
      <c r="R68" s="635"/>
      <c r="S68" s="321"/>
      <c r="T68" s="291" t="s">
        <v>40</v>
      </c>
      <c r="U68" s="601"/>
      <c r="V68" s="635"/>
      <c r="W68" s="321"/>
      <c r="X68" s="291" t="s">
        <v>41</v>
      </c>
      <c r="Y68" s="286"/>
      <c r="Z68" s="337"/>
      <c r="AA68" s="36"/>
      <c r="AB68" s="36"/>
      <c r="AC68" s="62"/>
      <c r="AD68" s="30"/>
      <c r="AE68" s="31"/>
      <c r="AF68" s="32"/>
    </row>
    <row r="69" spans="1:85" s="33" customFormat="1" outlineLevel="1" x14ac:dyDescent="0.2">
      <c r="A69" s="295" t="s">
        <v>104</v>
      </c>
      <c r="B69" s="306"/>
      <c r="C69" s="299"/>
      <c r="D69" s="224"/>
      <c r="E69" s="224"/>
      <c r="F69" s="634"/>
      <c r="G69" s="298"/>
      <c r="H69" s="112"/>
      <c r="I69" s="619"/>
      <c r="J69" s="634"/>
      <c r="K69" s="261"/>
      <c r="L69" s="112"/>
      <c r="M69" s="619"/>
      <c r="N69" s="634"/>
      <c r="O69" s="261"/>
      <c r="P69" s="112"/>
      <c r="Q69" s="619"/>
      <c r="R69" s="634"/>
      <c r="S69" s="261"/>
      <c r="T69" s="112"/>
      <c r="U69" s="619"/>
      <c r="V69" s="634"/>
      <c r="W69" s="261"/>
      <c r="X69" s="112"/>
      <c r="Y69" s="158">
        <f>SUM(X69,T69,P69,L69,H69)</f>
        <v>0</v>
      </c>
      <c r="Z69" s="348" t="s">
        <v>104</v>
      </c>
      <c r="AA69" s="36"/>
      <c r="AB69" s="36"/>
      <c r="AC69" s="62"/>
      <c r="AD69" s="30"/>
      <c r="AE69" s="31"/>
      <c r="AF69" s="32"/>
    </row>
    <row r="70" spans="1:85" s="33" customFormat="1" ht="13.5" outlineLevel="1" thickBot="1" x14ac:dyDescent="0.25">
      <c r="A70" s="295" t="s">
        <v>105</v>
      </c>
      <c r="B70" s="306"/>
      <c r="C70" s="299"/>
      <c r="D70" s="225"/>
      <c r="E70" s="225"/>
      <c r="F70" s="634"/>
      <c r="G70" s="298"/>
      <c r="H70" s="120"/>
      <c r="I70" s="619"/>
      <c r="J70" s="634"/>
      <c r="K70" s="261"/>
      <c r="L70" s="120"/>
      <c r="M70" s="619"/>
      <c r="N70" s="634"/>
      <c r="O70" s="261"/>
      <c r="P70" s="120"/>
      <c r="Q70" s="619"/>
      <c r="R70" s="634"/>
      <c r="S70" s="261"/>
      <c r="T70" s="120"/>
      <c r="U70" s="619"/>
      <c r="V70" s="634"/>
      <c r="W70" s="261"/>
      <c r="X70" s="120"/>
      <c r="Y70" s="158">
        <f>SUM(X70,T70,P70,L70,H70)</f>
        <v>0</v>
      </c>
      <c r="Z70" s="348" t="s">
        <v>105</v>
      </c>
      <c r="AA70" s="36"/>
      <c r="AB70" s="36"/>
      <c r="AC70" s="62"/>
      <c r="AD70" s="30"/>
      <c r="AE70" s="31"/>
      <c r="AF70" s="32"/>
    </row>
    <row r="71" spans="1:85" s="33" customFormat="1" ht="13.5" outlineLevel="1" thickBot="1" x14ac:dyDescent="0.25">
      <c r="A71" s="300" t="s">
        <v>116</v>
      </c>
      <c r="B71" s="307"/>
      <c r="C71" s="628"/>
      <c r="D71" s="629"/>
      <c r="E71" s="629"/>
      <c r="F71" s="632" t="s">
        <v>107</v>
      </c>
      <c r="G71" s="193">
        <f>IF(H71&gt;=25000,25000,H71)</f>
        <v>0</v>
      </c>
      <c r="H71" s="453">
        <f>ROUND(SUM(H69:H70),0)</f>
        <v>0</v>
      </c>
      <c r="I71" s="626"/>
      <c r="J71" s="632" t="s">
        <v>107</v>
      </c>
      <c r="K71" s="195">
        <f>IF((L71+G71)&gt;=25000,25000-G71,L71)</f>
        <v>0</v>
      </c>
      <c r="L71" s="453">
        <f>ROUND(SUM(L69:L70),0)</f>
        <v>0</v>
      </c>
      <c r="M71" s="626"/>
      <c r="N71" s="632" t="s">
        <v>107</v>
      </c>
      <c r="O71" s="195">
        <f>IF((P71+K71+G71)&gt;=25000,25000-K71-G71,P71)</f>
        <v>0</v>
      </c>
      <c r="P71" s="453">
        <f>ROUND(SUM(P69:P70),0)</f>
        <v>0</v>
      </c>
      <c r="Q71" s="626"/>
      <c r="R71" s="632" t="s">
        <v>107</v>
      </c>
      <c r="S71" s="195">
        <f>IF((T71+O71+K71+G71)&gt;=25000,25000-O71-K71-G71,T71)</f>
        <v>0</v>
      </c>
      <c r="T71" s="453">
        <f>ROUND(SUM(T69:T70),0)</f>
        <v>0</v>
      </c>
      <c r="U71" s="626"/>
      <c r="V71" s="632" t="s">
        <v>107</v>
      </c>
      <c r="W71" s="195">
        <f>IF((X71+S71+O71+K71+G71)&gt;=25000,25000-S71-O71-K71-G71,X71)</f>
        <v>0</v>
      </c>
      <c r="X71" s="453">
        <f>ROUND(SUM(X69:X70),0)</f>
        <v>0</v>
      </c>
      <c r="Y71" s="159">
        <f>SUM(H71,L71,P71,T71,X71)</f>
        <v>0</v>
      </c>
      <c r="Z71" s="337" t="s">
        <v>117</v>
      </c>
      <c r="AA71" s="36"/>
      <c r="AB71" s="36"/>
      <c r="AC71" s="62"/>
      <c r="AD71" s="30"/>
      <c r="AE71" s="31"/>
      <c r="AF71" s="32"/>
    </row>
    <row r="72" spans="1:85" s="57" customFormat="1" outlineLevel="1" x14ac:dyDescent="0.2">
      <c r="A72" s="122" t="s">
        <v>102</v>
      </c>
      <c r="B72" s="225" t="s">
        <v>174</v>
      </c>
      <c r="C72" s="248"/>
      <c r="D72" s="224"/>
      <c r="E72" s="224"/>
      <c r="F72" s="635"/>
      <c r="G72" s="298"/>
      <c r="H72" s="291" t="s">
        <v>37</v>
      </c>
      <c r="I72" s="601"/>
      <c r="J72" s="635"/>
      <c r="K72" s="321"/>
      <c r="L72" s="291" t="s">
        <v>38</v>
      </c>
      <c r="M72" s="601"/>
      <c r="N72" s="635"/>
      <c r="O72" s="321"/>
      <c r="P72" s="291" t="s">
        <v>39</v>
      </c>
      <c r="Q72" s="601"/>
      <c r="R72" s="635"/>
      <c r="S72" s="321"/>
      <c r="T72" s="291" t="s">
        <v>40</v>
      </c>
      <c r="U72" s="601"/>
      <c r="V72" s="635"/>
      <c r="W72" s="321"/>
      <c r="X72" s="291" t="s">
        <v>41</v>
      </c>
      <c r="Y72" s="286"/>
      <c r="Z72" s="349"/>
      <c r="AA72" s="46"/>
      <c r="AB72" s="46"/>
      <c r="AC72" s="46"/>
      <c r="AD72" s="56"/>
      <c r="AE72" s="43"/>
      <c r="AF72" s="44"/>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row>
    <row r="73" spans="1:85" s="42" customFormat="1" outlineLevel="1" x14ac:dyDescent="0.2">
      <c r="A73" s="295" t="s">
        <v>104</v>
      </c>
      <c r="B73" s="306"/>
      <c r="C73" s="299"/>
      <c r="D73" s="224"/>
      <c r="E73" s="224"/>
      <c r="F73" s="634"/>
      <c r="G73" s="298"/>
      <c r="H73" s="112"/>
      <c r="I73" s="619"/>
      <c r="J73" s="634"/>
      <c r="K73" s="261"/>
      <c r="L73" s="112"/>
      <c r="M73" s="619"/>
      <c r="N73" s="634"/>
      <c r="O73" s="261"/>
      <c r="P73" s="112"/>
      <c r="Q73" s="619"/>
      <c r="R73" s="634"/>
      <c r="S73" s="261"/>
      <c r="T73" s="112"/>
      <c r="U73" s="619"/>
      <c r="V73" s="634"/>
      <c r="W73" s="261"/>
      <c r="X73" s="112"/>
      <c r="Y73" s="158">
        <f>SUM(X73,T73,P73,L73,H73)</f>
        <v>0</v>
      </c>
      <c r="Z73" s="348" t="s">
        <v>104</v>
      </c>
      <c r="AA73" s="41"/>
      <c r="AD73" s="41"/>
      <c r="AE73" s="43"/>
      <c r="AF73" s="44"/>
    </row>
    <row r="74" spans="1:85" s="39" customFormat="1" ht="13.5" outlineLevel="1" thickBot="1" x14ac:dyDescent="0.25">
      <c r="A74" s="295" t="s">
        <v>105</v>
      </c>
      <c r="B74" s="306"/>
      <c r="C74" s="299"/>
      <c r="D74" s="225"/>
      <c r="E74" s="225"/>
      <c r="F74" s="634"/>
      <c r="G74" s="298"/>
      <c r="H74" s="120"/>
      <c r="I74" s="619"/>
      <c r="J74" s="634"/>
      <c r="K74" s="261"/>
      <c r="L74" s="120"/>
      <c r="M74" s="619"/>
      <c r="N74" s="634"/>
      <c r="O74" s="261"/>
      <c r="P74" s="120"/>
      <c r="Q74" s="619"/>
      <c r="R74" s="634"/>
      <c r="S74" s="261"/>
      <c r="T74" s="115"/>
      <c r="U74" s="619"/>
      <c r="V74" s="634"/>
      <c r="W74" s="261"/>
      <c r="X74" s="120"/>
      <c r="Y74" s="158">
        <f>SUM(X74,T74,P74,L74,H74)</f>
        <v>0</v>
      </c>
      <c r="Z74" s="348" t="s">
        <v>105</v>
      </c>
      <c r="AA74" s="45"/>
      <c r="AB74" s="45"/>
      <c r="AC74" s="46"/>
      <c r="AD74" s="47"/>
      <c r="AE74" s="37"/>
      <c r="AF74" s="38"/>
    </row>
    <row r="75" spans="1:85" s="40" customFormat="1" ht="13.5" outlineLevel="1" thickBot="1" x14ac:dyDescent="0.25">
      <c r="A75" s="308" t="s">
        <v>175</v>
      </c>
      <c r="B75" s="309"/>
      <c r="C75" s="630"/>
      <c r="D75" s="631"/>
      <c r="E75" s="631"/>
      <c r="F75" s="636" t="s">
        <v>107</v>
      </c>
      <c r="G75" s="187">
        <f>IF(H75&gt;=25000,25000,H75)</f>
        <v>0</v>
      </c>
      <c r="H75" s="458">
        <f>ROUND(SUM(H73:H74),0)</f>
        <v>0</v>
      </c>
      <c r="I75" s="627"/>
      <c r="J75" s="636" t="s">
        <v>107</v>
      </c>
      <c r="K75" s="188">
        <f>IF((L75+G75)&gt;=25000,25000-G75,L75)</f>
        <v>0</v>
      </c>
      <c r="L75" s="458">
        <f>ROUND(SUM(L73:L74),0)</f>
        <v>0</v>
      </c>
      <c r="M75" s="627"/>
      <c r="N75" s="636" t="s">
        <v>107</v>
      </c>
      <c r="O75" s="188">
        <f>IF((P75+K75+G75)&gt;=25000,25000-K75-G75,P75)</f>
        <v>0</v>
      </c>
      <c r="P75" s="458">
        <f>ROUND(SUM(P73:P74),0)</f>
        <v>0</v>
      </c>
      <c r="Q75" s="627"/>
      <c r="R75" s="636" t="s">
        <v>107</v>
      </c>
      <c r="S75" s="188">
        <f>IF((T75+O75+K75+G75)&gt;=25000,25000-O75-K75-G75,T75)</f>
        <v>0</v>
      </c>
      <c r="T75" s="458">
        <f>ROUND(SUM(T73:T74),0)</f>
        <v>0</v>
      </c>
      <c r="U75" s="627"/>
      <c r="V75" s="636" t="s">
        <v>107</v>
      </c>
      <c r="W75" s="188">
        <f>IF((X75+S75+O75+K75+G75)&gt;=25000,25000-S75-O75-K75-G75,X75)</f>
        <v>0</v>
      </c>
      <c r="X75" s="458">
        <f>ROUND(SUM(X73:X74),0)</f>
        <v>0</v>
      </c>
      <c r="Y75" s="160">
        <f>SUM(H75,L75,P75,T75,X75)</f>
        <v>0</v>
      </c>
      <c r="Z75" s="337" t="s">
        <v>176</v>
      </c>
      <c r="AA75" s="45"/>
      <c r="AB75" s="45"/>
      <c r="AC75" s="46"/>
      <c r="AD75" s="47"/>
      <c r="AE75" s="37"/>
      <c r="AF75" s="38"/>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row>
    <row r="76" spans="1:85" s="39" customFormat="1" ht="13.5" thickTop="1" x14ac:dyDescent="0.2">
      <c r="A76" s="161" t="s">
        <v>47</v>
      </c>
      <c r="B76" s="144"/>
      <c r="C76" s="711"/>
      <c r="D76" s="712"/>
      <c r="E76" s="712"/>
      <c r="F76" s="712"/>
      <c r="G76" s="713"/>
      <c r="H76" s="162" t="s">
        <v>37</v>
      </c>
      <c r="I76" s="162"/>
      <c r="J76" s="714"/>
      <c r="K76" s="715"/>
      <c r="L76" s="162" t="s">
        <v>38</v>
      </c>
      <c r="M76" s="162"/>
      <c r="N76" s="714"/>
      <c r="O76" s="715"/>
      <c r="P76" s="162" t="s">
        <v>39</v>
      </c>
      <c r="Q76" s="162"/>
      <c r="R76" s="714"/>
      <c r="S76" s="715"/>
      <c r="T76" s="162" t="s">
        <v>40</v>
      </c>
      <c r="U76" s="162"/>
      <c r="V76" s="714"/>
      <c r="W76" s="715"/>
      <c r="X76" s="457" t="s">
        <v>41</v>
      </c>
      <c r="Y76" s="455" t="s">
        <v>118</v>
      </c>
      <c r="Z76" s="350"/>
      <c r="AA76" s="45"/>
      <c r="AB76" s="45"/>
      <c r="AC76" s="46"/>
      <c r="AD76" s="47"/>
      <c r="AE76" s="37"/>
      <c r="AF76" s="38"/>
    </row>
    <row r="77" spans="1:85" x14ac:dyDescent="0.2">
      <c r="A77" s="683" t="s">
        <v>119</v>
      </c>
      <c r="B77" s="684"/>
      <c r="C77" s="684"/>
      <c r="D77" s="684"/>
      <c r="E77" s="684"/>
      <c r="F77" s="684"/>
      <c r="G77" s="685"/>
      <c r="H77" s="165">
        <f>H29+H32+H35+H42+H54+H59+H63+H67+H71+H75</f>
        <v>0</v>
      </c>
      <c r="I77" s="605"/>
      <c r="J77" s="678" t="s">
        <v>120</v>
      </c>
      <c r="K77" s="679"/>
      <c r="L77" s="165">
        <f>L29+L32+L35+L42+L54+L59+L63+L67+L71+L75</f>
        <v>0</v>
      </c>
      <c r="M77" s="605"/>
      <c r="N77" s="678" t="s">
        <v>120</v>
      </c>
      <c r="O77" s="679"/>
      <c r="P77" s="165">
        <f>P29+P32+P35+P42+P54+P59+P63+P67+P71+P75</f>
        <v>0</v>
      </c>
      <c r="Q77" s="605"/>
      <c r="R77" s="678" t="s">
        <v>120</v>
      </c>
      <c r="S77" s="679"/>
      <c r="T77" s="165">
        <f>T29+T32+T35+T42+T54+T59+T63+T67+T71+T75</f>
        <v>0</v>
      </c>
      <c r="U77" s="605"/>
      <c r="V77" s="678" t="s">
        <v>120</v>
      </c>
      <c r="W77" s="679"/>
      <c r="X77" s="165">
        <f>X29+X32+X35+X42+X54+X59+X63+X67+X71+X75</f>
        <v>0</v>
      </c>
      <c r="Y77" s="166">
        <f>H77+L77+P77+T77+X77</f>
        <v>0</v>
      </c>
      <c r="Z77" s="351" t="s">
        <v>121</v>
      </c>
      <c r="AA77" s="7"/>
      <c r="AB77" s="7"/>
      <c r="AC77" s="7"/>
      <c r="AD77" s="7"/>
      <c r="AE77" s="7"/>
    </row>
    <row r="78" spans="1:85" x14ac:dyDescent="0.2">
      <c r="A78" s="683" t="s">
        <v>122</v>
      </c>
      <c r="B78" s="684"/>
      <c r="C78" s="684"/>
      <c r="D78" s="684"/>
      <c r="E78" s="684"/>
      <c r="F78" s="684"/>
      <c r="G78" s="685"/>
      <c r="H78" s="167">
        <f>H77-H58-H62-H66-H70-H74</f>
        <v>0</v>
      </c>
      <c r="I78" s="605"/>
      <c r="J78" s="678" t="s">
        <v>123</v>
      </c>
      <c r="K78" s="679"/>
      <c r="L78" s="167">
        <f>L77-L58-L62-L66-L70-L74</f>
        <v>0</v>
      </c>
      <c r="M78" s="605"/>
      <c r="N78" s="678" t="s">
        <v>123</v>
      </c>
      <c r="O78" s="679"/>
      <c r="P78" s="167">
        <f>P77-P58-P62-P66-P70-P74</f>
        <v>0</v>
      </c>
      <c r="Q78" s="605"/>
      <c r="R78" s="678" t="s">
        <v>123</v>
      </c>
      <c r="S78" s="679"/>
      <c r="T78" s="167">
        <f>T77-T58-T62-T66-T70-T74</f>
        <v>0</v>
      </c>
      <c r="U78" s="605"/>
      <c r="V78" s="678" t="s">
        <v>123</v>
      </c>
      <c r="W78" s="679"/>
      <c r="X78" s="167">
        <f>X77-X58-X62-X66-X70-X74</f>
        <v>0</v>
      </c>
      <c r="Y78" s="166">
        <f>H78+L78+P78+T78+X78</f>
        <v>0</v>
      </c>
      <c r="Z78" s="351" t="s">
        <v>124</v>
      </c>
      <c r="AA78" s="7"/>
      <c r="AB78" s="7"/>
      <c r="AC78" s="7"/>
      <c r="AD78" s="7"/>
      <c r="AE78" s="7"/>
    </row>
    <row r="79" spans="1:85" x14ac:dyDescent="0.2">
      <c r="A79" s="683" t="s">
        <v>125</v>
      </c>
      <c r="B79" s="684"/>
      <c r="C79" s="684"/>
      <c r="D79" s="684"/>
      <c r="E79" s="684"/>
      <c r="F79" s="684"/>
      <c r="G79" s="685"/>
      <c r="H79" s="167">
        <f>SUM(H29+H35+H54+G59+G63+G67+G71+G75)-SUM(H47:H48)</f>
        <v>0</v>
      </c>
      <c r="I79" s="605"/>
      <c r="J79" s="678" t="s">
        <v>126</v>
      </c>
      <c r="K79" s="679"/>
      <c r="L79" s="167">
        <f>SUM(L29+L35+L54+K59+K63+K67+K71+K75)-SUM(L47:L48)</f>
        <v>0</v>
      </c>
      <c r="M79" s="605"/>
      <c r="N79" s="678" t="s">
        <v>126</v>
      </c>
      <c r="O79" s="679"/>
      <c r="P79" s="167">
        <f>SUM(P29+P35+P54+O59+O63+O67+O71+O75)-SUM(P47:P48)</f>
        <v>0</v>
      </c>
      <c r="Q79" s="605"/>
      <c r="R79" s="678" t="s">
        <v>126</v>
      </c>
      <c r="S79" s="679"/>
      <c r="T79" s="167">
        <f>SUM(T29+T35+T54+S59+S63+S67+S71+S75)-SUM(T47:T48)</f>
        <v>0</v>
      </c>
      <c r="U79" s="605"/>
      <c r="V79" s="678" t="s">
        <v>126</v>
      </c>
      <c r="W79" s="679"/>
      <c r="X79" s="167">
        <f>SUM(X29+X35+X54+W59+W63+W67+W71+W75)-SUM(X47:X48)</f>
        <v>0</v>
      </c>
      <c r="Y79" s="166">
        <f>H79+L79+P79+T79+X79</f>
        <v>0</v>
      </c>
      <c r="Z79" s="351" t="s">
        <v>125</v>
      </c>
      <c r="AA79" s="7"/>
      <c r="AB79" s="7"/>
      <c r="AC79" s="7"/>
      <c r="AD79" s="7"/>
      <c r="AE79" s="7"/>
    </row>
    <row r="80" spans="1:85" ht="13.5" thickBot="1" x14ac:dyDescent="0.25">
      <c r="A80" s="686" t="s">
        <v>127</v>
      </c>
      <c r="B80" s="687"/>
      <c r="C80" s="687"/>
      <c r="D80" s="687"/>
      <c r="E80" s="687"/>
      <c r="F80" s="687"/>
      <c r="G80" s="688"/>
      <c r="H80" s="168">
        <f>ROUND(H79*$L$9,0)</f>
        <v>0</v>
      </c>
      <c r="I80" s="606"/>
      <c r="J80" s="678" t="s">
        <v>128</v>
      </c>
      <c r="K80" s="679"/>
      <c r="L80" s="168">
        <f>ROUND(L79*$L$9,0)</f>
        <v>0</v>
      </c>
      <c r="M80" s="606"/>
      <c r="N80" s="678" t="s">
        <v>128</v>
      </c>
      <c r="O80" s="679"/>
      <c r="P80" s="168">
        <f>ROUND(P79*$L$9,0)</f>
        <v>0</v>
      </c>
      <c r="Q80" s="606"/>
      <c r="R80" s="678" t="s">
        <v>128</v>
      </c>
      <c r="S80" s="679"/>
      <c r="T80" s="168">
        <f>ROUND(T79*$L$9,0)</f>
        <v>0</v>
      </c>
      <c r="U80" s="606"/>
      <c r="V80" s="678" t="s">
        <v>128</v>
      </c>
      <c r="W80" s="679"/>
      <c r="X80" s="168">
        <f>ROUND(X79*$L$9,0)</f>
        <v>0</v>
      </c>
      <c r="Y80" s="166">
        <f>H80+L80+P80+T80+X80</f>
        <v>0</v>
      </c>
      <c r="Z80" s="351" t="s">
        <v>129</v>
      </c>
      <c r="AA80" s="10"/>
      <c r="AB80" s="10"/>
      <c r="AC80" s="10"/>
      <c r="AD80" s="10"/>
      <c r="AE80" s="10"/>
    </row>
    <row r="81" spans="1:31" s="10" customFormat="1" ht="13.5" thickBot="1" x14ac:dyDescent="0.25">
      <c r="A81" s="680" t="s">
        <v>130</v>
      </c>
      <c r="B81" s="681"/>
      <c r="C81" s="681"/>
      <c r="D81" s="681"/>
      <c r="E81" s="681"/>
      <c r="F81" s="681"/>
      <c r="G81" s="682"/>
      <c r="H81" s="159">
        <f>H77+H80</f>
        <v>0</v>
      </c>
      <c r="I81" s="607"/>
      <c r="J81" s="676" t="s">
        <v>130</v>
      </c>
      <c r="K81" s="677"/>
      <c r="L81" s="159">
        <f>L77+L80</f>
        <v>0</v>
      </c>
      <c r="M81" s="607"/>
      <c r="N81" s="676" t="s">
        <v>130</v>
      </c>
      <c r="O81" s="677"/>
      <c r="P81" s="159">
        <f>P77+P80</f>
        <v>0</v>
      </c>
      <c r="Q81" s="607"/>
      <c r="R81" s="676" t="s">
        <v>130</v>
      </c>
      <c r="S81" s="677"/>
      <c r="T81" s="159">
        <f>T77+T80</f>
        <v>0</v>
      </c>
      <c r="U81" s="607"/>
      <c r="V81" s="676" t="s">
        <v>130</v>
      </c>
      <c r="W81" s="677"/>
      <c r="X81" s="159">
        <f>X77+X80</f>
        <v>0</v>
      </c>
      <c r="Y81" s="169">
        <f>H81+L81+P81+T81+X81</f>
        <v>0</v>
      </c>
      <c r="Z81" s="352" t="s">
        <v>130</v>
      </c>
      <c r="AA81" s="7"/>
      <c r="AB81" s="7"/>
      <c r="AC81" s="7"/>
      <c r="AD81" s="7"/>
      <c r="AE81" s="7"/>
    </row>
    <row r="82" spans="1:31" ht="13.5" thickBot="1" x14ac:dyDescent="0.25">
      <c r="G82" s="66"/>
      <c r="H82" s="66"/>
      <c r="I82" s="66"/>
      <c r="J82" s="66"/>
      <c r="K82" s="66"/>
      <c r="L82" s="66"/>
      <c r="M82" s="66"/>
      <c r="N82" s="81"/>
      <c r="O82" s="66"/>
      <c r="P82" s="66"/>
      <c r="Q82" s="66"/>
      <c r="R82" s="66"/>
      <c r="S82" s="66"/>
      <c r="T82" s="66"/>
      <c r="U82" s="66"/>
      <c r="V82" s="66"/>
      <c r="W82" s="66"/>
      <c r="X82" s="66"/>
      <c r="Y82" s="66"/>
    </row>
    <row r="83" spans="1:31" outlineLevel="1" x14ac:dyDescent="0.2">
      <c r="A83" s="67" t="s">
        <v>131</v>
      </c>
      <c r="B83" s="68"/>
      <c r="C83" s="68"/>
      <c r="D83" s="68"/>
      <c r="E83" s="68"/>
      <c r="F83" s="68"/>
      <c r="G83" s="68"/>
      <c r="H83" s="69" t="s">
        <v>37</v>
      </c>
      <c r="I83" s="69"/>
      <c r="J83" s="68"/>
      <c r="K83" s="68"/>
      <c r="L83" s="69" t="s">
        <v>38</v>
      </c>
      <c r="M83" s="69"/>
      <c r="N83" s="68"/>
      <c r="O83" s="68"/>
      <c r="P83" s="69" t="s">
        <v>39</v>
      </c>
      <c r="Q83" s="69"/>
      <c r="R83" s="68"/>
      <c r="S83" s="68"/>
      <c r="T83" s="69" t="s">
        <v>40</v>
      </c>
      <c r="U83" s="69"/>
      <c r="V83" s="68"/>
      <c r="W83" s="68"/>
      <c r="X83" s="87" t="s">
        <v>41</v>
      </c>
    </row>
    <row r="84" spans="1:31" outlineLevel="1" x14ac:dyDescent="0.2">
      <c r="A84" s="70"/>
      <c r="B84" s="71"/>
      <c r="C84" s="71"/>
      <c r="D84" s="71"/>
      <c r="E84" s="71"/>
      <c r="F84" s="71"/>
      <c r="G84" s="72" t="s">
        <v>132</v>
      </c>
      <c r="H84" s="73">
        <f>H79</f>
        <v>0</v>
      </c>
      <c r="I84" s="73"/>
      <c r="J84" s="92"/>
      <c r="K84" s="93" t="s">
        <v>132</v>
      </c>
      <c r="L84" s="73">
        <f>L79</f>
        <v>0</v>
      </c>
      <c r="M84" s="73"/>
      <c r="N84" s="71"/>
      <c r="O84" s="93" t="s">
        <v>132</v>
      </c>
      <c r="P84" s="73">
        <f>P79</f>
        <v>0</v>
      </c>
      <c r="Q84" s="73"/>
      <c r="R84" s="71"/>
      <c r="S84" s="93" t="s">
        <v>132</v>
      </c>
      <c r="T84" s="73">
        <f>T79</f>
        <v>0</v>
      </c>
      <c r="U84" s="73"/>
      <c r="V84" s="71"/>
      <c r="W84" s="93" t="s">
        <v>132</v>
      </c>
      <c r="X84" s="88">
        <f>X79</f>
        <v>0</v>
      </c>
    </row>
    <row r="85" spans="1:31" outlineLevel="1" x14ac:dyDescent="0.2">
      <c r="A85" s="70"/>
      <c r="B85" s="71"/>
      <c r="C85" s="71"/>
      <c r="D85" s="71"/>
      <c r="E85" s="71"/>
      <c r="F85" s="71"/>
      <c r="G85" s="72" t="s">
        <v>133</v>
      </c>
      <c r="H85" s="73">
        <f>H32</f>
        <v>0</v>
      </c>
      <c r="I85" s="73"/>
      <c r="J85" s="92"/>
      <c r="K85" s="93" t="s">
        <v>133</v>
      </c>
      <c r="L85" s="73">
        <f>L32</f>
        <v>0</v>
      </c>
      <c r="M85" s="73"/>
      <c r="N85" s="71"/>
      <c r="O85" s="93" t="s">
        <v>133</v>
      </c>
      <c r="P85" s="73">
        <f>P32</f>
        <v>0</v>
      </c>
      <c r="Q85" s="73"/>
      <c r="R85" s="71"/>
      <c r="S85" s="93" t="s">
        <v>133</v>
      </c>
      <c r="T85" s="73">
        <f>T32</f>
        <v>0</v>
      </c>
      <c r="U85" s="73"/>
      <c r="V85" s="71"/>
      <c r="W85" s="93" t="s">
        <v>133</v>
      </c>
      <c r="X85" s="88">
        <f>X32</f>
        <v>0</v>
      </c>
      <c r="Z85" s="82"/>
    </row>
    <row r="86" spans="1:31" s="7" customFormat="1" outlineLevel="1" x14ac:dyDescent="0.2">
      <c r="A86" s="70"/>
      <c r="B86" s="90"/>
      <c r="C86" s="90"/>
      <c r="D86" s="90"/>
      <c r="E86" s="90"/>
      <c r="F86" s="90"/>
      <c r="G86" s="72" t="s">
        <v>134</v>
      </c>
      <c r="H86" s="73">
        <f>H42</f>
        <v>0</v>
      </c>
      <c r="I86" s="73"/>
      <c r="J86" s="94"/>
      <c r="K86" s="93" t="s">
        <v>134</v>
      </c>
      <c r="L86" s="73">
        <f>L42</f>
        <v>0</v>
      </c>
      <c r="M86" s="73"/>
      <c r="N86" s="91"/>
      <c r="O86" s="93" t="s">
        <v>134</v>
      </c>
      <c r="P86" s="73">
        <f>P42</f>
        <v>0</v>
      </c>
      <c r="Q86" s="73"/>
      <c r="R86" s="91"/>
      <c r="S86" s="93" t="s">
        <v>134</v>
      </c>
      <c r="T86" s="73">
        <f>T42</f>
        <v>0</v>
      </c>
      <c r="U86" s="73"/>
      <c r="V86" s="91"/>
      <c r="W86" s="93" t="s">
        <v>134</v>
      </c>
      <c r="X86" s="88">
        <f>X42</f>
        <v>0</v>
      </c>
      <c r="Z86" s="49"/>
      <c r="AC86" s="8"/>
      <c r="AD86" s="9"/>
      <c r="AE86" s="10"/>
    </row>
    <row r="87" spans="1:31" outlineLevel="1" x14ac:dyDescent="0.2">
      <c r="A87" s="70"/>
      <c r="B87" s="71"/>
      <c r="C87" s="71"/>
      <c r="D87" s="71"/>
      <c r="E87" s="71"/>
      <c r="F87" s="71"/>
      <c r="G87" s="72" t="s">
        <v>135</v>
      </c>
      <c r="H87" s="73">
        <f>H47</f>
        <v>0</v>
      </c>
      <c r="I87" s="73"/>
      <c r="J87" s="92"/>
      <c r="K87" s="93" t="s">
        <v>135</v>
      </c>
      <c r="L87" s="73">
        <f>L47</f>
        <v>0</v>
      </c>
      <c r="M87" s="73"/>
      <c r="N87" s="71"/>
      <c r="O87" s="93" t="s">
        <v>135</v>
      </c>
      <c r="P87" s="73">
        <f>P47</f>
        <v>0</v>
      </c>
      <c r="Q87" s="73"/>
      <c r="R87" s="71"/>
      <c r="S87" s="93" t="s">
        <v>135</v>
      </c>
      <c r="T87" s="73">
        <f>T47</f>
        <v>0</v>
      </c>
      <c r="U87" s="73"/>
      <c r="V87" s="71"/>
      <c r="W87" s="93" t="s">
        <v>135</v>
      </c>
      <c r="X87" s="88">
        <f>X47</f>
        <v>0</v>
      </c>
    </row>
    <row r="88" spans="1:31" ht="13.5" outlineLevel="1" thickBot="1" x14ac:dyDescent="0.25">
      <c r="A88" s="75"/>
      <c r="B88" s="76"/>
      <c r="C88" s="76"/>
      <c r="D88" s="76"/>
      <c r="E88" s="76"/>
      <c r="F88" s="76"/>
      <c r="G88" s="77" t="s">
        <v>136</v>
      </c>
      <c r="H88" s="78">
        <f>(SUM(H59,H63,H67,H75))-(SUM(G59,G63,G67,G75))</f>
        <v>0</v>
      </c>
      <c r="I88" s="78"/>
      <c r="J88" s="95"/>
      <c r="K88" s="96" t="s">
        <v>136</v>
      </c>
      <c r="L88" s="78">
        <f>(SUM(L59,L63,L67,L75))-(SUM(K59,K63,K67,K75))</f>
        <v>0</v>
      </c>
      <c r="M88" s="78"/>
      <c r="N88" s="76"/>
      <c r="O88" s="96" t="s">
        <v>136</v>
      </c>
      <c r="P88" s="78">
        <f>(SUM(P59,P63,P67,P75))-(SUM(O59,O63,O67,O75))</f>
        <v>0</v>
      </c>
      <c r="Q88" s="78"/>
      <c r="R88" s="76"/>
      <c r="S88" s="77" t="s">
        <v>136</v>
      </c>
      <c r="T88" s="78">
        <f>(SUM(T59,T63,T67,T75))-(SUM(S59,S63,S67,S75))</f>
        <v>0</v>
      </c>
      <c r="U88" s="78"/>
      <c r="V88" s="76"/>
      <c r="W88" s="96" t="s">
        <v>136</v>
      </c>
      <c r="X88" s="89">
        <f>(SUM(X59,X63,X67,X75))-(SUM(W59,W63,W67,W75))</f>
        <v>0</v>
      </c>
    </row>
    <row r="89" spans="1:31" s="50" customFormat="1" x14ac:dyDescent="0.2">
      <c r="A89" s="4"/>
      <c r="S89" s="51"/>
      <c r="Z89" s="83"/>
      <c r="AC89" s="52"/>
      <c r="AD89" s="53"/>
      <c r="AE89" s="54"/>
    </row>
    <row r="91" spans="1:31" outlineLevel="1" x14ac:dyDescent="0.2">
      <c r="A91" s="664" t="s">
        <v>194</v>
      </c>
    </row>
    <row r="92" spans="1:31" ht="13.5" outlineLevel="1" thickBot="1" x14ac:dyDescent="0.25">
      <c r="A92" s="716" t="s">
        <v>36</v>
      </c>
      <c r="B92" s="353"/>
      <c r="C92" s="353"/>
      <c r="D92" s="353"/>
      <c r="E92" s="695" t="s">
        <v>37</v>
      </c>
      <c r="F92" s="695"/>
      <c r="G92" s="695"/>
      <c r="H92" s="695"/>
      <c r="I92" s="695" t="s">
        <v>38</v>
      </c>
      <c r="J92" s="695"/>
      <c r="K92" s="695"/>
      <c r="L92" s="695"/>
      <c r="M92" s="695" t="s">
        <v>39</v>
      </c>
      <c r="N92" s="695"/>
      <c r="O92" s="695"/>
      <c r="P92" s="695"/>
      <c r="Q92" s="695" t="s">
        <v>40</v>
      </c>
      <c r="R92" s="695"/>
      <c r="S92" s="695"/>
      <c r="T92" s="695"/>
      <c r="U92" s="695" t="s">
        <v>41</v>
      </c>
      <c r="V92" s="695"/>
      <c r="W92" s="695"/>
      <c r="X92" s="695"/>
      <c r="Y92" s="354"/>
      <c r="Z92" s="331"/>
    </row>
    <row r="93" spans="1:31" ht="15.75" customHeight="1" outlineLevel="1" x14ac:dyDescent="0.2">
      <c r="A93" s="716"/>
      <c r="B93" s="717" t="s">
        <v>188</v>
      </c>
      <c r="C93" s="719" t="s">
        <v>42</v>
      </c>
      <c r="D93" s="721" t="s">
        <v>43</v>
      </c>
      <c r="E93" s="696" t="s">
        <v>189</v>
      </c>
      <c r="F93" s="704" t="s">
        <v>195</v>
      </c>
      <c r="G93" s="704" t="s">
        <v>196</v>
      </c>
      <c r="H93" s="721" t="s">
        <v>197</v>
      </c>
      <c r="I93" s="696" t="s">
        <v>190</v>
      </c>
      <c r="J93" s="704" t="s">
        <v>195</v>
      </c>
      <c r="K93" s="704" t="s">
        <v>196</v>
      </c>
      <c r="L93" s="721" t="s">
        <v>197</v>
      </c>
      <c r="M93" s="696" t="s">
        <v>191</v>
      </c>
      <c r="N93" s="704" t="s">
        <v>195</v>
      </c>
      <c r="O93" s="704" t="s">
        <v>196</v>
      </c>
      <c r="P93" s="721" t="s">
        <v>197</v>
      </c>
      <c r="Q93" s="696" t="s">
        <v>192</v>
      </c>
      <c r="R93" s="704" t="s">
        <v>195</v>
      </c>
      <c r="S93" s="704" t="s">
        <v>196</v>
      </c>
      <c r="T93" s="721" t="s">
        <v>197</v>
      </c>
      <c r="U93" s="696" t="s">
        <v>193</v>
      </c>
      <c r="V93" s="704" t="s">
        <v>195</v>
      </c>
      <c r="W93" s="704" t="s">
        <v>196</v>
      </c>
      <c r="X93" s="721" t="s">
        <v>197</v>
      </c>
      <c r="Y93" s="700" t="s">
        <v>47</v>
      </c>
      <c r="Z93" s="339"/>
      <c r="AC93" s="4"/>
      <c r="AD93" s="4"/>
      <c r="AE93" s="4"/>
    </row>
    <row r="94" spans="1:31" s="11" customFormat="1" outlineLevel="1" x14ac:dyDescent="0.2">
      <c r="A94" s="443" t="s">
        <v>48</v>
      </c>
      <c r="B94" s="718"/>
      <c r="C94" s="720"/>
      <c r="D94" s="722"/>
      <c r="E94" s="697"/>
      <c r="F94" s="705"/>
      <c r="G94" s="705"/>
      <c r="H94" s="722"/>
      <c r="I94" s="697"/>
      <c r="J94" s="705"/>
      <c r="K94" s="705"/>
      <c r="L94" s="722"/>
      <c r="M94" s="697"/>
      <c r="N94" s="705"/>
      <c r="O94" s="705"/>
      <c r="P94" s="722"/>
      <c r="Q94" s="697"/>
      <c r="R94" s="705"/>
      <c r="S94" s="705"/>
      <c r="T94" s="722"/>
      <c r="U94" s="697"/>
      <c r="V94" s="705"/>
      <c r="W94" s="705"/>
      <c r="X94" s="722"/>
      <c r="Y94" s="701"/>
      <c r="Z94" s="340"/>
    </row>
    <row r="95" spans="1:31" outlineLevel="1" x14ac:dyDescent="0.2">
      <c r="A95" s="442" t="s">
        <v>49</v>
      </c>
      <c r="B95" s="718"/>
      <c r="C95" s="720"/>
      <c r="D95" s="722"/>
      <c r="E95" s="697"/>
      <c r="F95" s="705"/>
      <c r="G95" s="705"/>
      <c r="H95" s="722"/>
      <c r="I95" s="697"/>
      <c r="J95" s="705"/>
      <c r="K95" s="705"/>
      <c r="L95" s="722"/>
      <c r="M95" s="697"/>
      <c r="N95" s="705"/>
      <c r="O95" s="705"/>
      <c r="P95" s="722"/>
      <c r="Q95" s="697"/>
      <c r="R95" s="705"/>
      <c r="S95" s="705"/>
      <c r="T95" s="722"/>
      <c r="U95" s="697"/>
      <c r="V95" s="705"/>
      <c r="W95" s="705"/>
      <c r="X95" s="722"/>
      <c r="Y95" s="701"/>
      <c r="Z95" s="337" t="s">
        <v>50</v>
      </c>
    </row>
    <row r="96" spans="1:31" outlineLevel="1" x14ac:dyDescent="0.2">
      <c r="A96" s="111" t="s">
        <v>51</v>
      </c>
      <c r="B96" s="112">
        <f>B18</f>
        <v>0</v>
      </c>
      <c r="C96" s="602">
        <f>C18</f>
        <v>0</v>
      </c>
      <c r="D96" s="640">
        <f>9*C96</f>
        <v>0</v>
      </c>
      <c r="E96" s="638">
        <f>B96*(1+$H$13)</f>
        <v>0</v>
      </c>
      <c r="F96" s="175">
        <f>IF(E96&gt;($L$2*9),(($C$96*E96)-F18),0)</f>
        <v>0</v>
      </c>
      <c r="G96" s="175">
        <f>ROUND(F96*$L$5,0)</f>
        <v>0</v>
      </c>
      <c r="H96" s="176">
        <f>ROUND(SUM(F96:G96),0)</f>
        <v>0</v>
      </c>
      <c r="I96" s="638">
        <f>IF($B$10&gt;1,B96*(1+$H$13)*(1+$L$13),0)</f>
        <v>0</v>
      </c>
      <c r="J96" s="175">
        <f>IF(I96&gt;($L$2*9),(($C$96*I96)-J18),0)</f>
        <v>0</v>
      </c>
      <c r="K96" s="175">
        <f>ROUND(J96*$L$5,0)</f>
        <v>0</v>
      </c>
      <c r="L96" s="176">
        <f t="shared" ref="L96:L99" si="37">ROUND(SUM(J96:K96),0)</f>
        <v>0</v>
      </c>
      <c r="M96" s="638">
        <f>IF($B$10&gt;2,B96*(1+$H$13)*(1+$L$13)*(1+$P$13),0)</f>
        <v>0</v>
      </c>
      <c r="N96" s="175">
        <f>IF(M96&gt;($L$2*9),(($C$96*M96)-N18),0)</f>
        <v>0</v>
      </c>
      <c r="O96" s="175">
        <f>ROUND(N96*$L$5,0)</f>
        <v>0</v>
      </c>
      <c r="P96" s="176">
        <f t="shared" ref="P96:P100" si="38">ROUND(SUM(N96:O96),0)</f>
        <v>0</v>
      </c>
      <c r="Q96" s="638">
        <f>IF($B$10&gt;3,B96*(1+$H$13)*(1+$L$13)*(1+$P$13)*(1+$T$13),0)</f>
        <v>0</v>
      </c>
      <c r="R96" s="175">
        <f>IF(Q96&gt;($L$2*9),(($C$96*Q96)-R18),0)</f>
        <v>0</v>
      </c>
      <c r="S96" s="175">
        <f>ROUND(R96*$L$5,0)</f>
        <v>0</v>
      </c>
      <c r="T96" s="176">
        <f t="shared" ref="T96:T100" si="39">ROUND(SUM(R96:S96),0)</f>
        <v>0</v>
      </c>
      <c r="U96" s="638">
        <f>IF($B$10&gt;4,B96*(1+$H$13)*(1+$L$13)*(1+$P$13)*(1+$T$13)*(1+$X$13),0)</f>
        <v>0</v>
      </c>
      <c r="V96" s="175">
        <f>IF(U96&gt;($L$2*9),(($C$96*U96)-V18),0)</f>
        <v>0</v>
      </c>
      <c r="W96" s="175">
        <f>ROUND(V96*$L$5,0)</f>
        <v>0</v>
      </c>
      <c r="X96" s="176">
        <f t="shared" ref="X96:X100" si="40">ROUND(SUM(V96:W96),0)</f>
        <v>0</v>
      </c>
      <c r="Y96" s="355">
        <f t="shared" ref="Y96:Y100" si="41">ROUND(SUM(H96,L96,P96,T96,X96),0)</f>
        <v>0</v>
      </c>
      <c r="Z96" s="341" t="s">
        <v>51</v>
      </c>
    </row>
    <row r="97" spans="1:26" outlineLevel="1" x14ac:dyDescent="0.2">
      <c r="A97" s="113" t="s">
        <v>52</v>
      </c>
      <c r="B97" s="312">
        <f>B19</f>
        <v>0</v>
      </c>
      <c r="C97" s="602">
        <f t="shared" ref="C97:C100" si="42">C19</f>
        <v>0</v>
      </c>
      <c r="D97" s="640">
        <f>3*C97</f>
        <v>0</v>
      </c>
      <c r="E97" s="638">
        <f>B97*(1+$H$13)</f>
        <v>0</v>
      </c>
      <c r="F97" s="175">
        <f>IF(E97&gt;($L$2*3),(($C$97*E97)-F19),0)</f>
        <v>0</v>
      </c>
      <c r="G97" s="175">
        <f>ROUND(F97*$L$8,0)</f>
        <v>0</v>
      </c>
      <c r="H97" s="176">
        <f t="shared" ref="H97:H100" si="43">ROUND(SUM(F97:G97),0)</f>
        <v>0</v>
      </c>
      <c r="I97" s="638">
        <f t="shared" ref="I97:I100" si="44">IF($B$10&gt;1,B97*(1+$H$13)*(1+$L$13),0)</f>
        <v>0</v>
      </c>
      <c r="J97" s="175">
        <f>IF(I97&gt;($L$2*3),(($C$97*I97)-J19),0)</f>
        <v>0</v>
      </c>
      <c r="K97" s="175">
        <f>ROUND(J97*$L$8,0)</f>
        <v>0</v>
      </c>
      <c r="L97" s="176">
        <f t="shared" si="37"/>
        <v>0</v>
      </c>
      <c r="M97" s="638">
        <f t="shared" ref="M97:M100" si="45">IF($B$10&gt;2,B97*(1+$H$13)*(1+$L$13)*(1+$P$13),0)</f>
        <v>0</v>
      </c>
      <c r="N97" s="175">
        <f>IF(M97&gt;($L$2*3),(($C$97*M97)-N19),0)</f>
        <v>0</v>
      </c>
      <c r="O97" s="175">
        <f>ROUND(N97*$L$8,0)</f>
        <v>0</v>
      </c>
      <c r="P97" s="176">
        <f t="shared" si="38"/>
        <v>0</v>
      </c>
      <c r="Q97" s="638">
        <f t="shared" ref="Q97:Q100" si="46">IF($B$10&gt;3,B97*(1+$H$13)*(1+$L$13)*(1+$P$13)*(1+$T$13),0)</f>
        <v>0</v>
      </c>
      <c r="R97" s="175">
        <f>IF(Q97&gt;($L$2*3),(($C$97*Q97)-R19),0)</f>
        <v>0</v>
      </c>
      <c r="S97" s="175">
        <f>ROUND(R97*$L$8,0)</f>
        <v>0</v>
      </c>
      <c r="T97" s="176">
        <f t="shared" si="39"/>
        <v>0</v>
      </c>
      <c r="U97" s="638">
        <f t="shared" ref="U97:U100" si="47">IF($B$10&gt;4,B97*(1+$H$13)*(1+$L$13)*(1+$P$13)*(1+$T$13)*(1+$X$13),0)</f>
        <v>0</v>
      </c>
      <c r="V97" s="175">
        <f>IF(U97&gt;($L$2*3),(($C$97*U97)-V19),0)</f>
        <v>0</v>
      </c>
      <c r="W97" s="175">
        <f>ROUND(V97*$L$8,0)</f>
        <v>0</v>
      </c>
      <c r="X97" s="176">
        <f t="shared" si="40"/>
        <v>0</v>
      </c>
      <c r="Y97" s="355">
        <f t="shared" si="41"/>
        <v>0</v>
      </c>
      <c r="Z97" s="341" t="s">
        <v>52</v>
      </c>
    </row>
    <row r="98" spans="1:26" outlineLevel="1" x14ac:dyDescent="0.2">
      <c r="A98" s="113" t="s">
        <v>53</v>
      </c>
      <c r="B98" s="114">
        <f>B20</f>
        <v>0</v>
      </c>
      <c r="C98" s="602">
        <f t="shared" si="42"/>
        <v>0</v>
      </c>
      <c r="D98" s="640">
        <f>10*C98</f>
        <v>0</v>
      </c>
      <c r="E98" s="638">
        <f>B98*(1+$H$13)</f>
        <v>0</v>
      </c>
      <c r="F98" s="175">
        <f>IF(E98&gt;($L$2*10),(($C$98*E98)-F20),0)</f>
        <v>0</v>
      </c>
      <c r="G98" s="175">
        <f>ROUND(F98*$L$5,0)</f>
        <v>0</v>
      </c>
      <c r="H98" s="176">
        <f t="shared" si="43"/>
        <v>0</v>
      </c>
      <c r="I98" s="638">
        <f t="shared" si="44"/>
        <v>0</v>
      </c>
      <c r="J98" s="175">
        <f>IF(I98&gt;($L$2*10),(($C$98*I98)-J20),0)</f>
        <v>0</v>
      </c>
      <c r="K98" s="175">
        <f>ROUND(J98*$L$5,0)</f>
        <v>0</v>
      </c>
      <c r="L98" s="176">
        <f t="shared" si="37"/>
        <v>0</v>
      </c>
      <c r="M98" s="638">
        <f t="shared" si="45"/>
        <v>0</v>
      </c>
      <c r="N98" s="175">
        <f>IF(M98&gt;($L$2*10),(($C$98*M98)-N20),0)</f>
        <v>0</v>
      </c>
      <c r="O98" s="175">
        <f>ROUND(N98*$L$5,0)</f>
        <v>0</v>
      </c>
      <c r="P98" s="176">
        <f t="shared" si="38"/>
        <v>0</v>
      </c>
      <c r="Q98" s="638">
        <f t="shared" si="46"/>
        <v>0</v>
      </c>
      <c r="R98" s="175">
        <f>IF(Q98&gt;($L$2*10),(($C$98*Q98)-R20),0)</f>
        <v>0</v>
      </c>
      <c r="S98" s="175">
        <f>ROUND(R98*$L$5,0)</f>
        <v>0</v>
      </c>
      <c r="T98" s="176">
        <f t="shared" si="39"/>
        <v>0</v>
      </c>
      <c r="U98" s="638">
        <f t="shared" si="47"/>
        <v>0</v>
      </c>
      <c r="V98" s="175">
        <f>IF(U98&gt;($L$2*10),(($C$98*U98)-V20),0)</f>
        <v>0</v>
      </c>
      <c r="W98" s="175">
        <f>ROUND(V98*$L$5,0)</f>
        <v>0</v>
      </c>
      <c r="X98" s="176">
        <f t="shared" si="40"/>
        <v>0</v>
      </c>
      <c r="Y98" s="355">
        <f t="shared" si="41"/>
        <v>0</v>
      </c>
      <c r="Z98" s="341" t="s">
        <v>53</v>
      </c>
    </row>
    <row r="99" spans="1:26" outlineLevel="1" x14ac:dyDescent="0.2">
      <c r="A99" s="113" t="s">
        <v>54</v>
      </c>
      <c r="B99" s="312">
        <f>B21</f>
        <v>0</v>
      </c>
      <c r="C99" s="602">
        <f t="shared" si="42"/>
        <v>0</v>
      </c>
      <c r="D99" s="640">
        <f>2*C99</f>
        <v>0</v>
      </c>
      <c r="E99" s="638">
        <f t="shared" ref="E99:E100" si="48">B99*(1+$H$13)</f>
        <v>0</v>
      </c>
      <c r="F99" s="175">
        <f>IF(E99&gt;($L$2*2),(($C$99*E99)-F21),0)</f>
        <v>0</v>
      </c>
      <c r="G99" s="175">
        <f>ROUND(F99*$L$8,0)</f>
        <v>0</v>
      </c>
      <c r="H99" s="176">
        <f t="shared" si="43"/>
        <v>0</v>
      </c>
      <c r="I99" s="638">
        <f t="shared" si="44"/>
        <v>0</v>
      </c>
      <c r="J99" s="175">
        <f>IF(I99&gt;($L$2*2),(($C$99*I99)-J21),0)</f>
        <v>0</v>
      </c>
      <c r="K99" s="175">
        <f>ROUND(J99*$L$8,0)</f>
        <v>0</v>
      </c>
      <c r="L99" s="176">
        <f t="shared" si="37"/>
        <v>0</v>
      </c>
      <c r="M99" s="638">
        <f t="shared" si="45"/>
        <v>0</v>
      </c>
      <c r="N99" s="175">
        <f>IF(M99&gt;($L$2*2),(($C$99*M99)-N21),0)</f>
        <v>0</v>
      </c>
      <c r="O99" s="175">
        <f>ROUND(N99*$L$8,0)</f>
        <v>0</v>
      </c>
      <c r="P99" s="176">
        <f t="shared" si="38"/>
        <v>0</v>
      </c>
      <c r="Q99" s="638">
        <f t="shared" si="46"/>
        <v>0</v>
      </c>
      <c r="R99" s="175">
        <f>IF(Q99&gt;($L$2*2),(($C$99*Q99)-R21),0)</f>
        <v>0</v>
      </c>
      <c r="S99" s="175">
        <f>ROUND(R99*$L$8,0)</f>
        <v>0</v>
      </c>
      <c r="T99" s="176">
        <f t="shared" si="39"/>
        <v>0</v>
      </c>
      <c r="U99" s="638">
        <f t="shared" si="47"/>
        <v>0</v>
      </c>
      <c r="V99" s="175">
        <f>IF(U99&gt;($L$2*2),(($C$99*U99)-V21),0)</f>
        <v>0</v>
      </c>
      <c r="W99" s="175">
        <f>ROUND(V99*$L$8,0)</f>
        <v>0</v>
      </c>
      <c r="X99" s="176">
        <f t="shared" si="40"/>
        <v>0</v>
      </c>
      <c r="Y99" s="355">
        <f t="shared" si="41"/>
        <v>0</v>
      </c>
      <c r="Z99" s="341" t="s">
        <v>54</v>
      </c>
    </row>
    <row r="100" spans="1:26" outlineLevel="1" x14ac:dyDescent="0.2">
      <c r="A100" s="113" t="s">
        <v>55</v>
      </c>
      <c r="B100" s="114">
        <f>B22</f>
        <v>0</v>
      </c>
      <c r="C100" s="602">
        <f t="shared" si="42"/>
        <v>0</v>
      </c>
      <c r="D100" s="640">
        <f t="shared" ref="D100" si="49">12*C100</f>
        <v>0</v>
      </c>
      <c r="E100" s="638">
        <f t="shared" si="48"/>
        <v>0</v>
      </c>
      <c r="F100" s="175">
        <f>IF(E100&gt;$L$3,(($C$100*E100)-F22),0)</f>
        <v>0</v>
      </c>
      <c r="G100" s="175">
        <f>ROUND(F100*$L$5,0)</f>
        <v>0</v>
      </c>
      <c r="H100" s="176">
        <f t="shared" si="43"/>
        <v>0</v>
      </c>
      <c r="I100" s="638">
        <f t="shared" si="44"/>
        <v>0</v>
      </c>
      <c r="J100" s="175">
        <f>IF(I100&gt;$L$3,(($C$100*I100)-J22),0)</f>
        <v>0</v>
      </c>
      <c r="K100" s="175">
        <f>ROUND(J100*$L$5,0)</f>
        <v>0</v>
      </c>
      <c r="L100" s="176">
        <f t="shared" ref="L100" si="50">ROUND(SUM(J100:K100),0)</f>
        <v>0</v>
      </c>
      <c r="M100" s="638">
        <f t="shared" si="45"/>
        <v>0</v>
      </c>
      <c r="N100" s="175">
        <f>IF(M100&gt;$L$3,(($C$100*M100)-N22),0)</f>
        <v>0</v>
      </c>
      <c r="O100" s="175">
        <f>ROUND(N100*$L$5,0)</f>
        <v>0</v>
      </c>
      <c r="P100" s="176">
        <f t="shared" si="38"/>
        <v>0</v>
      </c>
      <c r="Q100" s="638">
        <f t="shared" si="46"/>
        <v>0</v>
      </c>
      <c r="R100" s="175">
        <f>IF(Q100&gt;$L$3,(($C$100*Q100)-R22),0)</f>
        <v>0</v>
      </c>
      <c r="S100" s="175">
        <f>ROUND(R100*$L$5,0)</f>
        <v>0</v>
      </c>
      <c r="T100" s="176">
        <f t="shared" si="39"/>
        <v>0</v>
      </c>
      <c r="U100" s="638">
        <f t="shared" si="47"/>
        <v>0</v>
      </c>
      <c r="V100" s="175">
        <f>IF(U100&gt;$L$3,(($C$100*U100)-V22),0)</f>
        <v>0</v>
      </c>
      <c r="W100" s="175">
        <f>ROUND(V100*$L$5,0)</f>
        <v>0</v>
      </c>
      <c r="X100" s="176">
        <f t="shared" si="40"/>
        <v>0</v>
      </c>
      <c r="Y100" s="355">
        <f t="shared" si="41"/>
        <v>0</v>
      </c>
      <c r="Z100" s="341" t="s">
        <v>55</v>
      </c>
    </row>
  </sheetData>
  <sheetProtection sheet="1" objects="1" scenarios="1"/>
  <mergeCells count="119">
    <mergeCell ref="X93:X95"/>
    <mergeCell ref="Y93:Y95"/>
    <mergeCell ref="U92:X92"/>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M92:P92"/>
    <mergeCell ref="Q92:T92"/>
    <mergeCell ref="Q93:Q95"/>
    <mergeCell ref="R93:R95"/>
    <mergeCell ref="S93:S95"/>
    <mergeCell ref="T93:T95"/>
    <mergeCell ref="A78:G78"/>
    <mergeCell ref="J78:K78"/>
    <mergeCell ref="N78:O78"/>
    <mergeCell ref="B43:F43"/>
    <mergeCell ref="U93:U95"/>
    <mergeCell ref="V93:V95"/>
    <mergeCell ref="W93:W95"/>
    <mergeCell ref="A1:I3"/>
    <mergeCell ref="J1:L1"/>
    <mergeCell ref="J4:L4"/>
    <mergeCell ref="E14:H14"/>
    <mergeCell ref="I14:L14"/>
    <mergeCell ref="L15:L17"/>
    <mergeCell ref="A92:A93"/>
    <mergeCell ref="E92:H92"/>
    <mergeCell ref="I92:L92"/>
    <mergeCell ref="C36:F36"/>
    <mergeCell ref="C56:G56"/>
    <mergeCell ref="D32:G32"/>
    <mergeCell ref="C10:G10"/>
    <mergeCell ref="A12:B12"/>
    <mergeCell ref="J15:J17"/>
    <mergeCell ref="K15:K17"/>
    <mergeCell ref="A13:G13"/>
    <mergeCell ref="N76:O76"/>
    <mergeCell ref="R76:S76"/>
    <mergeCell ref="V76:W76"/>
    <mergeCell ref="R77:S77"/>
    <mergeCell ref="A77:G77"/>
    <mergeCell ref="J77:K77"/>
    <mergeCell ref="N77:O77"/>
    <mergeCell ref="F15:F17"/>
    <mergeCell ref="G15:G17"/>
    <mergeCell ref="H15:H17"/>
    <mergeCell ref="E15:E17"/>
    <mergeCell ref="I15:I17"/>
    <mergeCell ref="A14:A15"/>
    <mergeCell ref="B15:B17"/>
    <mergeCell ref="C15:C17"/>
    <mergeCell ref="D15:D17"/>
    <mergeCell ref="R78:S78"/>
    <mergeCell ref="V78:W78"/>
    <mergeCell ref="B55:G55"/>
    <mergeCell ref="Y15:Y17"/>
    <mergeCell ref="T15:T17"/>
    <mergeCell ref="V15:V17"/>
    <mergeCell ref="W15:W17"/>
    <mergeCell ref="N15:N17"/>
    <mergeCell ref="O15:O17"/>
    <mergeCell ref="P15:P17"/>
    <mergeCell ref="R15:R17"/>
    <mergeCell ref="S15:S17"/>
    <mergeCell ref="X15:X17"/>
    <mergeCell ref="Q15:Q17"/>
    <mergeCell ref="U15:U17"/>
    <mergeCell ref="R34:S34"/>
    <mergeCell ref="V34:W34"/>
    <mergeCell ref="D34:G34"/>
    <mergeCell ref="J34:K34"/>
    <mergeCell ref="N34:O34"/>
    <mergeCell ref="D33:G33"/>
    <mergeCell ref="V77:W77"/>
    <mergeCell ref="C76:G76"/>
    <mergeCell ref="J76:K76"/>
    <mergeCell ref="R13:S13"/>
    <mergeCell ref="N13:O13"/>
    <mergeCell ref="J13:K13"/>
    <mergeCell ref="R33:S33"/>
    <mergeCell ref="V33:W33"/>
    <mergeCell ref="N33:O33"/>
    <mergeCell ref="J32:K32"/>
    <mergeCell ref="N32:O32"/>
    <mergeCell ref="R32:S32"/>
    <mergeCell ref="V32:W32"/>
    <mergeCell ref="V13:W13"/>
    <mergeCell ref="J33:K33"/>
    <mergeCell ref="M14:P14"/>
    <mergeCell ref="Q14:T14"/>
    <mergeCell ref="U14:X14"/>
    <mergeCell ref="M15:M17"/>
    <mergeCell ref="V81:W81"/>
    <mergeCell ref="V79:W79"/>
    <mergeCell ref="A81:G81"/>
    <mergeCell ref="J81:K81"/>
    <mergeCell ref="N81:O81"/>
    <mergeCell ref="R81:S81"/>
    <mergeCell ref="A79:G79"/>
    <mergeCell ref="J79:K79"/>
    <mergeCell ref="N79:O79"/>
    <mergeCell ref="R79:S79"/>
    <mergeCell ref="A80:G80"/>
    <mergeCell ref="J80:K80"/>
    <mergeCell ref="N80:O80"/>
    <mergeCell ref="R80:S80"/>
    <mergeCell ref="V80:W80"/>
  </mergeCells>
  <conditionalFormatting sqref="AB53">
    <cfRule type="cellIs" dxfId="5" priority="1" operator="lessThan">
      <formula>0.02</formula>
    </cfRule>
  </conditionalFormatting>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G111"/>
  <sheetViews>
    <sheetView zoomScaleNormal="100" workbookViewId="0">
      <selection activeCell="D30" sqref="D30"/>
    </sheetView>
  </sheetViews>
  <sheetFormatPr defaultRowHeight="12.75" outlineLevelRow="1" x14ac:dyDescent="0.2"/>
  <cols>
    <col min="1" max="1" width="29" style="4" customWidth="1"/>
    <col min="2" max="2" width="11.28515625" style="4" customWidth="1"/>
    <col min="3" max="3" width="9.85546875" style="4" customWidth="1"/>
    <col min="4" max="4" width="8.5703125" style="4" customWidth="1"/>
    <col min="5" max="5" width="10.85546875" style="4" customWidth="1"/>
    <col min="6" max="6" width="10" style="4" customWidth="1"/>
    <col min="7" max="7" width="11.5703125" style="4" customWidth="1"/>
    <col min="8" max="9" width="10.42578125" style="4" customWidth="1"/>
    <col min="10" max="10" width="10" style="4" customWidth="1"/>
    <col min="11" max="11" width="8.28515625" style="4" customWidth="1"/>
    <col min="12" max="13" width="11" style="4" customWidth="1"/>
    <col min="14" max="14" width="10.28515625" style="4" customWidth="1"/>
    <col min="15" max="15" width="11.85546875" style="4" customWidth="1"/>
    <col min="16" max="17" width="12.28515625" style="4" customWidth="1"/>
    <col min="18" max="18" width="10.42578125" style="4" customWidth="1"/>
    <col min="19" max="19" width="8.7109375" style="4" customWidth="1"/>
    <col min="20" max="21" width="11.140625" style="4" customWidth="1"/>
    <col min="22" max="22" width="11" style="4" customWidth="1"/>
    <col min="23" max="23" width="9.28515625" style="4" customWidth="1"/>
    <col min="24" max="24" width="11" style="4" customWidth="1"/>
    <col min="25" max="25" width="15.42578125" style="4" customWidth="1"/>
    <col min="26" max="26" width="38.4257812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32" width="9.140625" style="4"/>
    <col min="33" max="33" width="10" style="4" customWidth="1"/>
    <col min="34" max="16384" width="9.140625" style="4"/>
  </cols>
  <sheetData>
    <row r="1" spans="1:54" ht="14.25" customHeight="1" x14ac:dyDescent="0.2">
      <c r="A1" s="725" t="s">
        <v>11</v>
      </c>
      <c r="B1" s="726"/>
      <c r="C1" s="726"/>
      <c r="D1" s="726"/>
      <c r="E1" s="726"/>
      <c r="F1" s="726"/>
      <c r="G1" s="726"/>
      <c r="H1" s="726"/>
      <c r="I1" s="727"/>
      <c r="J1" s="770" t="s">
        <v>12</v>
      </c>
      <c r="K1" s="771"/>
      <c r="L1" s="772"/>
      <c r="M1" s="778" t="s">
        <v>137</v>
      </c>
      <c r="N1" s="779"/>
      <c r="O1" s="779"/>
      <c r="P1" s="779"/>
      <c r="Q1" s="779"/>
      <c r="R1" s="779"/>
      <c r="S1" s="779"/>
      <c r="T1" s="779"/>
      <c r="U1" s="780"/>
      <c r="V1" s="225"/>
      <c r="W1" s="225"/>
      <c r="X1" s="228"/>
      <c r="Y1" s="228"/>
      <c r="Z1" s="382"/>
      <c r="AA1" s="322"/>
      <c r="AB1" s="322"/>
      <c r="AC1" s="323"/>
      <c r="AD1" s="324"/>
      <c r="AE1" s="325"/>
      <c r="AF1" s="322"/>
      <c r="AG1" s="322"/>
      <c r="AH1" s="322"/>
      <c r="AI1" s="322"/>
      <c r="AJ1" s="322"/>
      <c r="AK1" s="322"/>
      <c r="AL1" s="322"/>
      <c r="AM1" s="322"/>
      <c r="AN1" s="322"/>
      <c r="AO1" s="322"/>
      <c r="AP1" s="322"/>
      <c r="AQ1" s="322"/>
      <c r="AR1" s="322"/>
      <c r="AS1" s="322"/>
      <c r="AT1" s="322"/>
      <c r="AU1" s="322"/>
      <c r="AV1" s="322"/>
      <c r="AW1" s="322"/>
      <c r="AX1" s="322"/>
      <c r="AY1" s="322"/>
      <c r="AZ1" s="322"/>
      <c r="BA1" s="322"/>
      <c r="BB1" s="322"/>
    </row>
    <row r="2" spans="1:54" x14ac:dyDescent="0.2">
      <c r="A2" s="728"/>
      <c r="B2" s="729"/>
      <c r="C2" s="729"/>
      <c r="D2" s="729"/>
      <c r="E2" s="729"/>
      <c r="F2" s="729"/>
      <c r="G2" s="729"/>
      <c r="H2" s="729"/>
      <c r="I2" s="730"/>
      <c r="J2" s="222" t="s">
        <v>13</v>
      </c>
      <c r="K2" s="223"/>
      <c r="L2" s="310">
        <f>L3/12</f>
        <v>18491.666666666668</v>
      </c>
      <c r="M2" s="781"/>
      <c r="N2" s="782"/>
      <c r="O2" s="782"/>
      <c r="P2" s="782"/>
      <c r="Q2" s="782"/>
      <c r="R2" s="782"/>
      <c r="S2" s="782"/>
      <c r="T2" s="782"/>
      <c r="U2" s="783"/>
      <c r="V2" s="225"/>
      <c r="W2" s="225"/>
      <c r="X2" s="228"/>
      <c r="Y2" s="228"/>
      <c r="Z2" s="336"/>
    </row>
    <row r="3" spans="1:54" ht="13.5" customHeight="1" thickBot="1" x14ac:dyDescent="0.25">
      <c r="A3" s="728"/>
      <c r="B3" s="729"/>
      <c r="C3" s="729"/>
      <c r="D3" s="729"/>
      <c r="E3" s="729"/>
      <c r="F3" s="729"/>
      <c r="G3" s="729"/>
      <c r="H3" s="729"/>
      <c r="I3" s="730"/>
      <c r="J3" s="226" t="s">
        <v>14</v>
      </c>
      <c r="K3" s="227"/>
      <c r="L3" s="412">
        <v>221900</v>
      </c>
      <c r="M3" s="781"/>
      <c r="N3" s="782"/>
      <c r="O3" s="782"/>
      <c r="P3" s="782"/>
      <c r="Q3" s="782"/>
      <c r="R3" s="782"/>
      <c r="S3" s="782"/>
      <c r="T3" s="782"/>
      <c r="U3" s="783"/>
      <c r="V3" s="225"/>
      <c r="W3" s="225"/>
      <c r="X3" s="228"/>
      <c r="Y3" s="228"/>
      <c r="Z3" s="336"/>
    </row>
    <row r="4" spans="1:54" s="5" customFormat="1" ht="13.5" thickBot="1" x14ac:dyDescent="0.25">
      <c r="A4" s="230" t="s">
        <v>15</v>
      </c>
      <c r="B4" s="100"/>
      <c r="C4" s="101"/>
      <c r="D4" s="102"/>
      <c r="E4" s="102"/>
      <c r="F4" s="102"/>
      <c r="G4" s="102"/>
      <c r="H4" s="101"/>
      <c r="I4" s="101"/>
      <c r="J4" s="734" t="s">
        <v>16</v>
      </c>
      <c r="K4" s="773"/>
      <c r="L4" s="774"/>
      <c r="M4" s="784"/>
      <c r="N4" s="785"/>
      <c r="O4" s="785"/>
      <c r="P4" s="785"/>
      <c r="Q4" s="785"/>
      <c r="R4" s="785"/>
      <c r="S4" s="785"/>
      <c r="T4" s="785"/>
      <c r="U4" s="786"/>
      <c r="V4" s="225"/>
      <c r="W4" s="225"/>
      <c r="X4" s="228"/>
      <c r="Y4" s="228"/>
      <c r="Z4" s="201"/>
      <c r="AA4" s="60"/>
      <c r="AB4" s="60"/>
      <c r="AC4" s="61"/>
      <c r="AD4" s="1"/>
      <c r="AE4" s="2"/>
      <c r="AF4" s="3"/>
      <c r="AG4" s="4"/>
      <c r="AH4" s="4"/>
      <c r="AI4" s="4"/>
      <c r="AJ4" s="4"/>
      <c r="AK4" s="4"/>
      <c r="AL4" s="4"/>
      <c r="AM4" s="4"/>
      <c r="AN4" s="4"/>
      <c r="AO4" s="4"/>
      <c r="AP4" s="4"/>
      <c r="AQ4" s="4"/>
      <c r="AR4" s="4"/>
      <c r="AS4" s="4"/>
      <c r="AT4" s="4"/>
      <c r="AU4" s="4"/>
      <c r="AV4" s="4"/>
      <c r="AW4" s="4"/>
      <c r="AX4" s="4"/>
      <c r="AY4" s="4"/>
      <c r="AZ4" s="4"/>
      <c r="BA4" s="4"/>
      <c r="BB4" s="4"/>
    </row>
    <row r="5" spans="1:54" s="5" customFormat="1" x14ac:dyDescent="0.2">
      <c r="A5" s="230" t="s">
        <v>17</v>
      </c>
      <c r="B5" s="100"/>
      <c r="C5" s="103"/>
      <c r="D5" s="104"/>
      <c r="E5" s="104"/>
      <c r="F5" s="104"/>
      <c r="G5" s="104"/>
      <c r="H5" s="103"/>
      <c r="I5" s="103"/>
      <c r="J5" s="233" t="s">
        <v>18</v>
      </c>
      <c r="K5" s="234"/>
      <c r="L5" s="235">
        <v>0.28599999999999998</v>
      </c>
      <c r="M5" s="615"/>
      <c r="N5" s="248"/>
      <c r="O5" s="248"/>
      <c r="P5" s="248"/>
      <c r="Q5" s="248"/>
      <c r="R5" s="248"/>
      <c r="S5" s="248"/>
      <c r="T5" s="248"/>
      <c r="U5" s="248"/>
      <c r="V5" s="225"/>
      <c r="W5" s="225"/>
      <c r="X5" s="228"/>
      <c r="Y5" s="228"/>
      <c r="Z5" s="201"/>
      <c r="AA5" s="60"/>
      <c r="AB5" s="60"/>
      <c r="AC5" s="61"/>
      <c r="AD5" s="1"/>
      <c r="AE5" s="2"/>
      <c r="AF5" s="3"/>
      <c r="AG5" s="4"/>
      <c r="AH5" s="4"/>
      <c r="AI5" s="4"/>
      <c r="AJ5" s="4"/>
      <c r="AK5" s="4"/>
      <c r="AL5" s="4"/>
      <c r="AM5" s="4"/>
      <c r="AN5" s="4"/>
      <c r="AO5" s="4"/>
      <c r="AP5" s="4"/>
      <c r="AQ5" s="4"/>
      <c r="AR5" s="4"/>
      <c r="AS5" s="4"/>
      <c r="AT5" s="4"/>
      <c r="AU5" s="4"/>
      <c r="AV5" s="4"/>
      <c r="AW5" s="4"/>
      <c r="AX5" s="4"/>
      <c r="AY5" s="4"/>
      <c r="AZ5" s="4"/>
      <c r="BA5" s="4"/>
      <c r="BB5" s="4"/>
    </row>
    <row r="6" spans="1:54" s="5" customFormat="1" x14ac:dyDescent="0.2">
      <c r="A6" s="230" t="s">
        <v>19</v>
      </c>
      <c r="B6" s="100"/>
      <c r="C6" s="103"/>
      <c r="D6" s="104"/>
      <c r="E6" s="104"/>
      <c r="F6" s="104"/>
      <c r="G6" s="104"/>
      <c r="H6" s="103"/>
      <c r="I6" s="103"/>
      <c r="J6" s="233" t="s">
        <v>20</v>
      </c>
      <c r="K6" s="234"/>
      <c r="L6" s="235">
        <v>0.22</v>
      </c>
      <c r="M6" s="615"/>
      <c r="N6" s="248"/>
      <c r="O6" s="248"/>
      <c r="P6" s="248"/>
      <c r="Q6" s="248"/>
      <c r="R6" s="248"/>
      <c r="S6" s="248"/>
      <c r="T6" s="248"/>
      <c r="U6" s="248"/>
      <c r="V6" s="225"/>
      <c r="W6" s="225"/>
      <c r="X6" s="228"/>
      <c r="Y6" s="228"/>
      <c r="Z6" s="201"/>
      <c r="AA6" s="60"/>
      <c r="AB6" s="60"/>
      <c r="AC6" s="61"/>
      <c r="AD6" s="1"/>
      <c r="AE6" s="2"/>
      <c r="AF6" s="3"/>
      <c r="AG6" s="4"/>
      <c r="AH6" s="4"/>
      <c r="AI6" s="4"/>
      <c r="AJ6" s="4"/>
      <c r="AK6" s="4"/>
      <c r="AL6" s="4"/>
      <c r="AM6" s="4"/>
      <c r="AN6" s="4"/>
      <c r="AO6" s="4"/>
      <c r="AP6" s="4"/>
      <c r="AQ6" s="4"/>
      <c r="AR6" s="4"/>
      <c r="AS6" s="4"/>
      <c r="AT6" s="4"/>
      <c r="AU6" s="4"/>
      <c r="AV6" s="4"/>
      <c r="AW6" s="4"/>
      <c r="AX6" s="4"/>
      <c r="AY6" s="4"/>
      <c r="AZ6" s="4"/>
      <c r="BA6" s="4"/>
      <c r="BB6" s="4"/>
    </row>
    <row r="7" spans="1:54" s="5" customFormat="1" x14ac:dyDescent="0.2">
      <c r="A7" s="239" t="s">
        <v>21</v>
      </c>
      <c r="B7" s="105"/>
      <c r="C7" s="103"/>
      <c r="D7" s="104"/>
      <c r="E7" s="104"/>
      <c r="F7" s="104"/>
      <c r="G7" s="104"/>
      <c r="H7" s="103"/>
      <c r="I7" s="103"/>
      <c r="J7" s="233" t="s">
        <v>22</v>
      </c>
      <c r="K7" s="234"/>
      <c r="L7" s="235">
        <v>0.05</v>
      </c>
      <c r="M7" s="615"/>
      <c r="N7" s="248"/>
      <c r="O7" s="248"/>
      <c r="P7" s="248"/>
      <c r="Q7" s="248"/>
      <c r="R7" s="248"/>
      <c r="S7" s="248"/>
      <c r="T7" s="248"/>
      <c r="U7" s="248"/>
      <c r="V7" s="225"/>
      <c r="W7" s="225"/>
      <c r="X7" s="228"/>
      <c r="Y7" s="228"/>
      <c r="Z7" s="201"/>
      <c r="AA7" s="60"/>
      <c r="AB7" s="60"/>
      <c r="AC7" s="61"/>
      <c r="AD7" s="1"/>
      <c r="AE7" s="2"/>
      <c r="AF7" s="3"/>
      <c r="AG7" s="4"/>
      <c r="AH7" s="4"/>
      <c r="AI7" s="4"/>
      <c r="AJ7" s="4"/>
      <c r="AK7" s="4"/>
      <c r="AL7" s="4"/>
      <c r="AM7" s="4"/>
      <c r="AN7" s="4"/>
      <c r="AO7" s="4"/>
      <c r="AP7" s="4"/>
      <c r="AQ7" s="4"/>
      <c r="AR7" s="4"/>
      <c r="AS7" s="4"/>
      <c r="AT7" s="4"/>
      <c r="AU7" s="4"/>
      <c r="AV7" s="4"/>
      <c r="AW7" s="4"/>
      <c r="AX7" s="4"/>
      <c r="AY7" s="4"/>
      <c r="AZ7" s="4"/>
      <c r="BA7" s="4"/>
      <c r="BB7" s="4"/>
    </row>
    <row r="8" spans="1:54" s="5" customFormat="1" ht="17.25" customHeight="1" thickBot="1" x14ac:dyDescent="0.25">
      <c r="A8" s="230" t="s">
        <v>23</v>
      </c>
      <c r="B8" s="105"/>
      <c r="C8" s="103"/>
      <c r="D8" s="104"/>
      <c r="E8" s="104"/>
      <c r="F8" s="104"/>
      <c r="G8" s="104"/>
      <c r="H8" s="103"/>
      <c r="I8" s="103"/>
      <c r="J8" s="243" t="s">
        <v>24</v>
      </c>
      <c r="K8" s="244"/>
      <c r="L8" s="311">
        <v>0.11</v>
      </c>
      <c r="M8" s="616"/>
      <c r="N8" s="248"/>
      <c r="O8" s="248"/>
      <c r="P8" s="248"/>
      <c r="Q8" s="248"/>
      <c r="R8" s="248"/>
      <c r="S8" s="248"/>
      <c r="T8" s="248"/>
      <c r="U8" s="248"/>
      <c r="V8" s="225"/>
      <c r="W8" s="225"/>
      <c r="X8" s="228"/>
      <c r="Y8" s="228"/>
      <c r="Z8" s="201"/>
      <c r="AA8" s="60"/>
      <c r="AB8" s="60"/>
      <c r="AC8" s="61"/>
      <c r="AD8" s="1"/>
      <c r="AE8" s="2"/>
      <c r="AF8" s="3"/>
      <c r="AG8" s="4"/>
      <c r="AH8" s="4"/>
      <c r="AI8" s="4"/>
      <c r="AJ8" s="4"/>
      <c r="AK8" s="4"/>
      <c r="AL8" s="4"/>
      <c r="AM8" s="4"/>
      <c r="AN8" s="4"/>
      <c r="AO8" s="4"/>
      <c r="AP8" s="4"/>
      <c r="AQ8" s="4"/>
      <c r="AR8" s="4"/>
      <c r="AS8" s="4"/>
      <c r="AT8" s="4"/>
      <c r="AU8" s="4"/>
      <c r="AV8" s="4"/>
      <c r="AW8" s="4"/>
      <c r="AX8" s="4"/>
      <c r="AY8" s="4"/>
      <c r="AZ8" s="4"/>
      <c r="BA8" s="4"/>
      <c r="BB8" s="4"/>
    </row>
    <row r="9" spans="1:54" s="6" customFormat="1" ht="15" customHeight="1" thickBot="1" x14ac:dyDescent="0.25">
      <c r="A9" s="230" t="s">
        <v>25</v>
      </c>
      <c r="B9" s="106"/>
      <c r="C9" s="103"/>
      <c r="D9" s="103"/>
      <c r="E9" s="103"/>
      <c r="F9" s="104"/>
      <c r="G9" s="104"/>
      <c r="H9" s="103"/>
      <c r="I9" s="103"/>
      <c r="J9" s="775" t="s">
        <v>26</v>
      </c>
      <c r="K9" s="776"/>
      <c r="L9" s="413">
        <v>0.38500000000000001</v>
      </c>
      <c r="M9" s="248"/>
      <c r="N9" s="248"/>
      <c r="O9" s="248"/>
      <c r="P9" s="248"/>
      <c r="Q9" s="248"/>
      <c r="R9" s="248"/>
      <c r="S9" s="248"/>
      <c r="T9" s="248"/>
      <c r="U9" s="248"/>
      <c r="V9" s="225"/>
      <c r="W9" s="225"/>
      <c r="X9" s="225"/>
      <c r="Y9" s="225"/>
      <c r="Z9" s="202"/>
      <c r="AA9" s="7"/>
      <c r="AB9" s="7"/>
      <c r="AC9" s="8"/>
      <c r="AD9" s="9"/>
      <c r="AE9" s="10"/>
      <c r="AF9" s="7"/>
      <c r="AG9" s="7"/>
      <c r="AH9" s="7"/>
      <c r="AI9" s="7"/>
      <c r="AJ9" s="7"/>
      <c r="AK9" s="7"/>
      <c r="AL9" s="7"/>
      <c r="AM9" s="7"/>
      <c r="AN9" s="7"/>
      <c r="AO9" s="7"/>
      <c r="AP9" s="7"/>
      <c r="AQ9" s="7"/>
      <c r="AR9" s="7"/>
      <c r="AS9" s="7"/>
      <c r="AT9" s="7"/>
      <c r="AU9" s="7"/>
      <c r="AV9" s="7"/>
      <c r="AW9" s="7"/>
      <c r="AX9" s="7"/>
      <c r="AY9" s="7"/>
      <c r="AZ9" s="7"/>
      <c r="BA9" s="7"/>
      <c r="BB9" s="7"/>
    </row>
    <row r="10" spans="1:54" ht="13.5" thickBot="1" x14ac:dyDescent="0.25">
      <c r="A10" s="249" t="s">
        <v>27</v>
      </c>
      <c r="B10" s="107"/>
      <c r="C10" s="739"/>
      <c r="D10" s="740"/>
      <c r="E10" s="740"/>
      <c r="F10" s="740"/>
      <c r="G10" s="740"/>
      <c r="H10" s="225"/>
      <c r="I10" s="225"/>
      <c r="J10" s="241" t="s">
        <v>199</v>
      </c>
      <c r="K10" s="241"/>
      <c r="L10" s="241"/>
      <c r="M10" s="241"/>
      <c r="N10" s="241"/>
      <c r="O10" s="241"/>
      <c r="P10" s="241"/>
      <c r="Q10" s="241"/>
      <c r="R10" s="241"/>
      <c r="S10" s="241"/>
      <c r="T10" s="241"/>
      <c r="U10" s="241"/>
      <c r="V10" s="241"/>
      <c r="W10" s="241"/>
      <c r="X10" s="241"/>
      <c r="Y10" s="228"/>
      <c r="Z10" s="203"/>
    </row>
    <row r="11" spans="1:54" x14ac:dyDescent="0.2">
      <c r="A11" s="251" t="s">
        <v>28</v>
      </c>
      <c r="B11" s="108"/>
      <c r="C11" s="252"/>
      <c r="D11" s="225"/>
      <c r="E11" s="225"/>
      <c r="F11" s="224"/>
      <c r="G11" s="224"/>
      <c r="H11" s="224"/>
      <c r="I11" s="224"/>
      <c r="J11" s="224"/>
      <c r="K11" s="225"/>
      <c r="L11" s="225"/>
      <c r="M11" s="225"/>
      <c r="N11" s="224"/>
      <c r="O11" s="224"/>
      <c r="P11" s="224"/>
      <c r="Q11" s="224"/>
      <c r="R11" s="224"/>
      <c r="S11" s="224"/>
      <c r="T11" s="224"/>
      <c r="U11" s="224"/>
      <c r="V11" s="224"/>
      <c r="W11" s="224"/>
      <c r="X11" s="224"/>
      <c r="Y11" s="224"/>
      <c r="Z11" s="203"/>
    </row>
    <row r="12" spans="1:54" x14ac:dyDescent="0.2">
      <c r="A12" s="743" t="s">
        <v>29</v>
      </c>
      <c r="B12" s="794"/>
      <c r="C12" s="109"/>
      <c r="D12" s="224"/>
      <c r="E12" s="224"/>
      <c r="F12" s="253" t="s">
        <v>30</v>
      </c>
      <c r="G12" s="109"/>
      <c r="H12" s="224"/>
      <c r="I12" s="224"/>
      <c r="J12" s="224"/>
      <c r="K12" s="224"/>
      <c r="L12" s="224"/>
      <c r="M12" s="224"/>
      <c r="N12" s="224"/>
      <c r="O12" s="224"/>
      <c r="P12" s="224"/>
      <c r="Q12" s="224"/>
      <c r="R12" s="224"/>
      <c r="S12" s="224"/>
      <c r="T12" s="224"/>
      <c r="U12" s="224"/>
      <c r="V12" s="224"/>
      <c r="W12" s="224"/>
      <c r="X12" s="224"/>
      <c r="Y12" s="224"/>
      <c r="Z12" s="203"/>
    </row>
    <row r="13" spans="1:54" x14ac:dyDescent="0.2">
      <c r="A13" s="745" t="s">
        <v>31</v>
      </c>
      <c r="B13" s="790"/>
      <c r="C13" s="790"/>
      <c r="D13" s="790"/>
      <c r="E13" s="790"/>
      <c r="F13" s="790"/>
      <c r="G13" s="791"/>
      <c r="H13" s="110">
        <v>0</v>
      </c>
      <c r="I13" s="617"/>
      <c r="J13" s="689" t="s">
        <v>32</v>
      </c>
      <c r="K13" s="769"/>
      <c r="L13" s="110">
        <v>0</v>
      </c>
      <c r="M13" s="617"/>
      <c r="N13" s="689" t="s">
        <v>33</v>
      </c>
      <c r="O13" s="769"/>
      <c r="P13" s="110">
        <f>L13</f>
        <v>0</v>
      </c>
      <c r="Q13" s="617"/>
      <c r="R13" s="689" t="s">
        <v>34</v>
      </c>
      <c r="S13" s="769"/>
      <c r="T13" s="110">
        <f>P13</f>
        <v>0</v>
      </c>
      <c r="U13" s="617"/>
      <c r="V13" s="689" t="s">
        <v>35</v>
      </c>
      <c r="W13" s="769"/>
      <c r="X13" s="110">
        <f>T13</f>
        <v>0</v>
      </c>
      <c r="Y13" s="224"/>
      <c r="Z13" s="200"/>
    </row>
    <row r="14" spans="1:54" ht="13.5" thickBot="1" x14ac:dyDescent="0.25">
      <c r="A14" s="716" t="s">
        <v>36</v>
      </c>
      <c r="B14" s="444"/>
      <c r="C14" s="444"/>
      <c r="D14" s="444"/>
      <c r="E14" s="444"/>
      <c r="F14" s="695" t="s">
        <v>37</v>
      </c>
      <c r="G14" s="777"/>
      <c r="H14" s="777"/>
      <c r="I14" s="597"/>
      <c r="J14" s="695" t="s">
        <v>38</v>
      </c>
      <c r="K14" s="777"/>
      <c r="L14" s="777"/>
      <c r="M14" s="597"/>
      <c r="N14" s="695" t="s">
        <v>39</v>
      </c>
      <c r="O14" s="777"/>
      <c r="P14" s="777"/>
      <c r="Q14" s="597"/>
      <c r="R14" s="695" t="s">
        <v>40</v>
      </c>
      <c r="S14" s="777"/>
      <c r="T14" s="777"/>
      <c r="U14" s="597"/>
      <c r="V14" s="695" t="s">
        <v>41</v>
      </c>
      <c r="W14" s="777"/>
      <c r="X14" s="777"/>
      <c r="Y14" s="354"/>
      <c r="Z14" s="200"/>
    </row>
    <row r="15" spans="1:54" ht="12.75" customHeight="1" x14ac:dyDescent="0.2">
      <c r="A15" s="716"/>
      <c r="B15" s="717" t="s">
        <v>188</v>
      </c>
      <c r="C15" s="719" t="s">
        <v>42</v>
      </c>
      <c r="D15" s="792" t="s">
        <v>43</v>
      </c>
      <c r="E15" s="696" t="s">
        <v>189</v>
      </c>
      <c r="F15" s="760" t="s">
        <v>44</v>
      </c>
      <c r="G15" s="762" t="s">
        <v>45</v>
      </c>
      <c r="H15" s="758" t="s">
        <v>46</v>
      </c>
      <c r="I15" s="696" t="s">
        <v>190</v>
      </c>
      <c r="J15" s="760" t="s">
        <v>44</v>
      </c>
      <c r="K15" s="762" t="s">
        <v>45</v>
      </c>
      <c r="L15" s="758" t="s">
        <v>46</v>
      </c>
      <c r="M15" s="696" t="s">
        <v>191</v>
      </c>
      <c r="N15" s="760" t="s">
        <v>44</v>
      </c>
      <c r="O15" s="762" t="s">
        <v>45</v>
      </c>
      <c r="P15" s="758" t="s">
        <v>46</v>
      </c>
      <c r="Q15" s="696" t="s">
        <v>192</v>
      </c>
      <c r="R15" s="760" t="s">
        <v>44</v>
      </c>
      <c r="S15" s="762" t="s">
        <v>45</v>
      </c>
      <c r="T15" s="758" t="s">
        <v>46</v>
      </c>
      <c r="U15" s="696" t="s">
        <v>193</v>
      </c>
      <c r="V15" s="760" t="s">
        <v>44</v>
      </c>
      <c r="W15" s="762" t="s">
        <v>45</v>
      </c>
      <c r="X15" s="758" t="s">
        <v>46</v>
      </c>
      <c r="Y15" s="767" t="s">
        <v>47</v>
      </c>
      <c r="Z15" s="204"/>
      <c r="AC15" s="4"/>
      <c r="AD15" s="4"/>
      <c r="AE15" s="4"/>
    </row>
    <row r="16" spans="1:54" s="11" customFormat="1" x14ac:dyDescent="0.2">
      <c r="A16" s="443" t="s">
        <v>48</v>
      </c>
      <c r="B16" s="718"/>
      <c r="C16" s="720"/>
      <c r="D16" s="793"/>
      <c r="E16" s="697"/>
      <c r="F16" s="761"/>
      <c r="G16" s="763"/>
      <c r="H16" s="759"/>
      <c r="I16" s="697"/>
      <c r="J16" s="761"/>
      <c r="K16" s="763"/>
      <c r="L16" s="759"/>
      <c r="M16" s="697"/>
      <c r="N16" s="761"/>
      <c r="O16" s="763"/>
      <c r="P16" s="759"/>
      <c r="Q16" s="697"/>
      <c r="R16" s="761"/>
      <c r="S16" s="763"/>
      <c r="T16" s="759"/>
      <c r="U16" s="697"/>
      <c r="V16" s="761"/>
      <c r="W16" s="763"/>
      <c r="X16" s="759"/>
      <c r="Y16" s="768"/>
      <c r="Z16" s="205"/>
    </row>
    <row r="17" spans="1:85" x14ac:dyDescent="0.2">
      <c r="A17" s="442" t="s">
        <v>49</v>
      </c>
      <c r="B17" s="718"/>
      <c r="C17" s="720"/>
      <c r="D17" s="793"/>
      <c r="E17" s="697"/>
      <c r="F17" s="761"/>
      <c r="G17" s="763"/>
      <c r="H17" s="759"/>
      <c r="I17" s="697"/>
      <c r="J17" s="761"/>
      <c r="K17" s="763"/>
      <c r="L17" s="759"/>
      <c r="M17" s="697"/>
      <c r="N17" s="761"/>
      <c r="O17" s="763"/>
      <c r="P17" s="759"/>
      <c r="Q17" s="697"/>
      <c r="R17" s="761"/>
      <c r="S17" s="763"/>
      <c r="T17" s="759"/>
      <c r="U17" s="697"/>
      <c r="V17" s="761"/>
      <c r="W17" s="763"/>
      <c r="X17" s="759"/>
      <c r="Y17" s="768"/>
      <c r="Z17" s="202" t="s">
        <v>50</v>
      </c>
    </row>
    <row r="18" spans="1:85" x14ac:dyDescent="0.2">
      <c r="A18" s="111" t="s">
        <v>51</v>
      </c>
      <c r="B18" s="130"/>
      <c r="C18" s="123"/>
      <c r="D18" s="640">
        <f>9*C18</f>
        <v>0</v>
      </c>
      <c r="E18" s="638">
        <f>B18*(1+$H$13)</f>
        <v>0</v>
      </c>
      <c r="F18" s="175">
        <f>IF(($B18*(1+$H$13))&gt;=($L$2*9),ROUND(($L$2*9)*C18,0),ROUND(($C18*$B18*(1+$H$13)),0))</f>
        <v>0</v>
      </c>
      <c r="G18" s="175">
        <f>ROUND(F18*$L$5,0)</f>
        <v>0</v>
      </c>
      <c r="H18" s="176">
        <f>ROUND(SUM(F18:G18),0)</f>
        <v>0</v>
      </c>
      <c r="I18" s="638">
        <f>IF($B$10&gt;1,B18*(1+$H$13)*(1+$L$13),0)</f>
        <v>0</v>
      </c>
      <c r="J18" s="175">
        <f>IF($B$10&lt;2,0,
IF(AND($B$10&gt;1,($B$18*(1+$H$13)*(1+$L$13))&gt;=($L$2*9)),ROUND((($L$2*9)*$C$18),0),
IF(AND($B$10&gt;1,($B$18*(1+$H$13)*(1+$L$13))&lt;($L$2*9)),ROUND((F18*(1+$L$13)),0))))</f>
        <v>0</v>
      </c>
      <c r="K18" s="175">
        <f>ROUND(J18*$L$5,0)</f>
        <v>0</v>
      </c>
      <c r="L18" s="176">
        <f t="shared" ref="L18:L28" si="0">ROUND(SUM(J18:K18),0)</f>
        <v>0</v>
      </c>
      <c r="M18" s="638">
        <f>IF($B$10&gt;2,B18*(1+$H$13)*(1+$L$13)*(1+$P$13),0)</f>
        <v>0</v>
      </c>
      <c r="N18" s="175">
        <f>IF($B$10&lt;3,0,
IF(AND($B$10&gt;2,($B18*(1+$H$13)*(1+$L$13)*(1+$P$13))&gt;=($L$2*9)),ROUND((($L$2*9)*$C18),0),
IF(AND($B$10&gt;2,($B18*(1+$H$13)*(1+$L$13)*(1+$P$13))&lt;($L$2*9)),ROUND((J18*(1+$P$13)),0))))</f>
        <v>0</v>
      </c>
      <c r="O18" s="175">
        <f>ROUND(N18*$L$5,0)</f>
        <v>0</v>
      </c>
      <c r="P18" s="176">
        <f t="shared" ref="P18:P28" si="1">ROUND(SUM(N18:O18),0)</f>
        <v>0</v>
      </c>
      <c r="Q18" s="638">
        <f>IF($B$10&gt;3,B18*(1+$H$13)*(1+$L$13)*(1+$P$13)*(1+$T$13),0)</f>
        <v>0</v>
      </c>
      <c r="R18" s="175">
        <f>IF($B$10&lt;4,0,
IF(AND($B$10&gt;3,($B18*(1+$H$13)*(1+$L$13)*(1+$P$13)*(1+$T$13))&gt;=($L$2*9)),ROUND((($L$2*9)*$C18),0),
IF(AND($B$10&gt;3,($B18*(1+$H$13)*(1+$L$13)*(1+$P$13)*(1+$T$13))&lt;($L$2*9)),ROUND((N18*(1+$T$13)),0))))</f>
        <v>0</v>
      </c>
      <c r="S18" s="175">
        <f>ROUND(R18*$L$5,0)</f>
        <v>0</v>
      </c>
      <c r="T18" s="176">
        <f t="shared" ref="T18:T28" si="2">ROUND(SUM(R18:S18),0)</f>
        <v>0</v>
      </c>
      <c r="U18" s="638">
        <f>IF($B$10&gt;4,B18*(1+$H$13)*(1+$L$13)*(1+$P$13)*(1+$T$13)*(1+$X$13),0)</f>
        <v>0</v>
      </c>
      <c r="V18" s="175">
        <f>IF($B$10&lt;5,0,
IF(AND($B$10&gt;4,($B18*(1+$H$13)*(1+$L$13)*(1+$P$13)*(1+$T$13)*(1+$X$13))&gt;=($L$2*9)),ROUND((($L$2*9)*$C18),0),
IF(AND($B$10&gt;4,($B18*(1+$H$13)*(1+$L$13)*(1+$P$13)*(1+$T$13)*(1+$X$13))&lt;($L$2*9)),ROUND((R18*(1+$X$13)),0))))</f>
        <v>0</v>
      </c>
      <c r="W18" s="175">
        <f>ROUND(V18*$L$5,0)</f>
        <v>0</v>
      </c>
      <c r="X18" s="176">
        <f t="shared" ref="X18:X28" si="3">ROUND(SUM(V18:W18),0)</f>
        <v>0</v>
      </c>
      <c r="Y18" s="145">
        <f t="shared" ref="Y18:Y28" si="4">ROUND(SUM(H18,L18,P18,T18,X18),0)</f>
        <v>0</v>
      </c>
      <c r="Z18" s="206" t="s">
        <v>51</v>
      </c>
    </row>
    <row r="19" spans="1:85" x14ac:dyDescent="0.2">
      <c r="A19" s="113" t="s">
        <v>52</v>
      </c>
      <c r="B19" s="383">
        <f>B18/9*3</f>
        <v>0</v>
      </c>
      <c r="C19" s="124"/>
      <c r="D19" s="640">
        <f>3*C19</f>
        <v>0</v>
      </c>
      <c r="E19" s="638">
        <f>B19*(1+$H$13)</f>
        <v>0</v>
      </c>
      <c r="F19" s="175">
        <f>IF(($B19*(1+$H$13))&gt;=($L$2*3),ROUND(($L$2*3)*C19,0),ROUND(($C19*$B19*(1+$H$13)),0))</f>
        <v>0</v>
      </c>
      <c r="G19" s="175">
        <f>ROUND(F19*$L$8,0)</f>
        <v>0</v>
      </c>
      <c r="H19" s="176">
        <f t="shared" ref="H19:H28" si="5">ROUND(SUM(F19:G19),0)</f>
        <v>0</v>
      </c>
      <c r="I19" s="638">
        <f t="shared" ref="I19:I28" si="6">IF($B$10&gt;1,B19*(1+$H$13)*(1+$L$13),0)</f>
        <v>0</v>
      </c>
      <c r="J19" s="175">
        <f>IF($B$10&lt;2,0,
IF(AND($B$10&gt;1,($B$19*(1+$H$13)*(1+$L$13))&gt;=($L$2*3)),ROUND((($L$2*3)*$C$19),0),
IF(AND($B$10&gt;1,($B$19*(1+$H$13)*(1+$L$13))&lt;($L$2*3)),ROUND((F19*(1+$L$13)),0))))</f>
        <v>0</v>
      </c>
      <c r="K19" s="175">
        <f>ROUND(J19*$L$8,0)</f>
        <v>0</v>
      </c>
      <c r="L19" s="176">
        <f t="shared" si="0"/>
        <v>0</v>
      </c>
      <c r="M19" s="638">
        <f t="shared" ref="M19:M28" si="7">IF($B$10&gt;2,B19*(1+$H$13)*(1+$L$13)*(1+$P$13),0)</f>
        <v>0</v>
      </c>
      <c r="N19" s="175">
        <f>IF($B$10&lt;3,0,
IF(AND($B$10&gt;2,($B19*(1+$H$13)*(1+$L$13)*(1+$P$13))&gt;=($L$2*3)),ROUND((($L$2*3)*$C19),0),
IF(AND($B$10&gt;2,($B19*(1+$H$13)*(1+$L$13)*(1+$P$13))&lt;($L$2*3)),ROUND((J19*(1+$P$13)),0))))</f>
        <v>0</v>
      </c>
      <c r="O19" s="175">
        <f>ROUND(N19*$L$8,0)</f>
        <v>0</v>
      </c>
      <c r="P19" s="176">
        <f t="shared" si="1"/>
        <v>0</v>
      </c>
      <c r="Q19" s="638">
        <f t="shared" ref="Q19:Q28" si="8">IF($B$10&gt;3,B19*(1+$H$13)*(1+$L$13)*(1+$P$13)*(1+$T$13),0)</f>
        <v>0</v>
      </c>
      <c r="R19" s="175">
        <f>IF($B$10&lt;4,0,
IF(AND($B$10&gt;3,($B19*(1+$H$13)*(1+$L$13)*(1+$P$13)*(1+$T$13))&gt;=($L$2*3)),ROUND((($L$2*3)*$C19),0),
IF(AND($B$10&gt;3,($B19*(1+$H$13)*(1+$L$13)*(1+$P$13)*(1+$T$13))&lt;($L$2*3)),ROUND((N19*(1+$T$13)),0))))</f>
        <v>0</v>
      </c>
      <c r="S19" s="175">
        <f>ROUND(R19*$L$8,0)</f>
        <v>0</v>
      </c>
      <c r="T19" s="176">
        <f t="shared" si="2"/>
        <v>0</v>
      </c>
      <c r="U19" s="638">
        <f t="shared" ref="U19:U28" si="9">IF($B$10&gt;4,B19*(1+$H$13)*(1+$L$13)*(1+$P$13)*(1+$T$13)*(1+$X$13),0)</f>
        <v>0</v>
      </c>
      <c r="V19" s="175">
        <f>IF($B$10&lt;5,0,
IF(AND($B$10&gt;4,($B19*(1+$H$13)*(1+$L$13)*(1+$P$13)*(1+$T$13)*(1+$X$13))&gt;=($L$2*3)),ROUND((($L$2*3)*$C19),0),
IF(AND($B$10&gt;4,($B19*(1+$H$13)*(1+$L$13)*(1+$P$13)*(1+$T$13)*(1+$X$13))&lt;($L$2*3)),ROUND((R19*(1+$X$13)),0))))</f>
        <v>0</v>
      </c>
      <c r="W19" s="175">
        <f>ROUND(V19*$L$8,0)</f>
        <v>0</v>
      </c>
      <c r="X19" s="176">
        <f t="shared" si="3"/>
        <v>0</v>
      </c>
      <c r="Y19" s="145">
        <f t="shared" si="4"/>
        <v>0</v>
      </c>
      <c r="Z19" s="206" t="s">
        <v>52</v>
      </c>
    </row>
    <row r="20" spans="1:85" x14ac:dyDescent="0.2">
      <c r="A20" s="113" t="s">
        <v>53</v>
      </c>
      <c r="B20" s="133"/>
      <c r="C20" s="124"/>
      <c r="D20" s="640">
        <f>10*C20</f>
        <v>0</v>
      </c>
      <c r="E20" s="638">
        <f>B20*(1+$H$13)</f>
        <v>0</v>
      </c>
      <c r="F20" s="175">
        <f>IF(($B20*(1+$H$13))&gt;=($L$2*10),ROUND(($L$2*10)*C20,0),ROUND(($C20*$B20*(1+$H$13)),0))</f>
        <v>0</v>
      </c>
      <c r="G20" s="175">
        <f>ROUND(F20*$L$5,0)</f>
        <v>0</v>
      </c>
      <c r="H20" s="176">
        <f t="shared" si="5"/>
        <v>0</v>
      </c>
      <c r="I20" s="638">
        <f t="shared" si="6"/>
        <v>0</v>
      </c>
      <c r="J20" s="175">
        <f>IF($B$10&lt;2,0,
IF(AND($B$10&gt;1,($B$20*(1+$H$13)*(1+$L$13))&gt;=($L$2*10)),ROUND((($L$2*10)*$C$20),0),
IF(AND($B$10&gt;1,($B$20*(1+$H$13)*(1+$L$13))&lt;($L$2*10)),ROUND((F20*(1+$L$13)),0))))</f>
        <v>0</v>
      </c>
      <c r="K20" s="175">
        <f>ROUND(J20*$L$5,0)</f>
        <v>0</v>
      </c>
      <c r="L20" s="176">
        <f t="shared" si="0"/>
        <v>0</v>
      </c>
      <c r="M20" s="638">
        <f t="shared" si="7"/>
        <v>0</v>
      </c>
      <c r="N20" s="175">
        <f>IF($B$10&lt;3,0,
IF(AND($B$10&gt;2,($B20*(1+$H$13)*(1+$L$13)*(1+$P$13))&gt;=($L$2*10)),ROUND((($L$2*10)*$C20),0),
IF(AND($B$10&gt;2,($B20*(1+$H$13)*(1+$L$13)*(1+$P$13))&lt;($L$2*10)),ROUND((J20*(1+$P$13)),0))))</f>
        <v>0</v>
      </c>
      <c r="O20" s="175">
        <f>ROUND(N20*$L$5,0)</f>
        <v>0</v>
      </c>
      <c r="P20" s="176">
        <f t="shared" si="1"/>
        <v>0</v>
      </c>
      <c r="Q20" s="638">
        <f t="shared" si="8"/>
        <v>0</v>
      </c>
      <c r="R20" s="175">
        <f>IF($B$10&lt;4,0,
IF(AND($B$10&gt;3,($B20*(1+$H$13)*(1+$L$13)*(1+$P$13)*(1+$T$13))&gt;=($L$2*10)),ROUND((($L$2*10)*$C20),0),
IF(AND($B$10&gt;3,($B20*(1+$H$13)*(1+$L$13)*(1+$P$13)*(1+$T$13))&lt;($L$2*10)),ROUND((N20*(1+$T$13)),0))))</f>
        <v>0</v>
      </c>
      <c r="S20" s="175">
        <f>ROUND(R20*$L$5,0)</f>
        <v>0</v>
      </c>
      <c r="T20" s="176">
        <f t="shared" si="2"/>
        <v>0</v>
      </c>
      <c r="U20" s="638">
        <f t="shared" si="9"/>
        <v>0</v>
      </c>
      <c r="V20" s="175">
        <f>IF($B$10&lt;5,0,
IF(AND($B$10&gt;4,($B20*(1+$H$13)*(1+$L$13)*(1+$P$13)*(1+$T$13)*(1+$X$13))&gt;=($L$2*10)),ROUND((($L$2*10)*$C20),0),
IF(AND($B$10&gt;4,($B20*(1+$H$13)*(1+$L$13)*(1+$P$13)*(1+$T$13)*(1+$X$13))&lt;($L$2*10)),ROUND((R20*(1+$X$13)),0))))</f>
        <v>0</v>
      </c>
      <c r="W20" s="175">
        <f>ROUND(V20*$L$5,0)</f>
        <v>0</v>
      </c>
      <c r="X20" s="176">
        <f t="shared" si="3"/>
        <v>0</v>
      </c>
      <c r="Y20" s="145">
        <f t="shared" si="4"/>
        <v>0</v>
      </c>
      <c r="Z20" s="206" t="s">
        <v>53</v>
      </c>
    </row>
    <row r="21" spans="1:85" x14ac:dyDescent="0.2">
      <c r="A21" s="113" t="s">
        <v>54</v>
      </c>
      <c r="B21" s="383">
        <f>B20/10*2</f>
        <v>0</v>
      </c>
      <c r="C21" s="124"/>
      <c r="D21" s="640">
        <f>2*C21</f>
        <v>0</v>
      </c>
      <c r="E21" s="638">
        <f t="shared" ref="E21:E28" si="10">B21*(1+$H$13)</f>
        <v>0</v>
      </c>
      <c r="F21" s="175">
        <f>IF(($B21*(1+$H$13))&gt;=($L$2*2),ROUND(($L$2*2)*C21,0),ROUND(($C21*$B21*(1+$H$13)),0))</f>
        <v>0</v>
      </c>
      <c r="G21" s="175">
        <f>ROUND(F21*$L$8,0)</f>
        <v>0</v>
      </c>
      <c r="H21" s="176">
        <f>ROUND(SUM(F21:G21),0)</f>
        <v>0</v>
      </c>
      <c r="I21" s="638">
        <f t="shared" si="6"/>
        <v>0</v>
      </c>
      <c r="J21" s="175">
        <f>IF($B$10&lt;2,0,
IF(AND($B$10&gt;1,($B$21*(1+$H$13)*(1+$L$13))&gt;=($L$2*2)),ROUND((($L$2*2)*$C$21),0),
IF(AND($B$10&gt;1,($B$21*(1+$H$13)*(1+$L$13))&lt;($L$2*2)),ROUND((F21*(1+$L$13)),0))))</f>
        <v>0</v>
      </c>
      <c r="K21" s="175">
        <f>ROUND(J21*$L$8,0)</f>
        <v>0</v>
      </c>
      <c r="L21" s="176">
        <f t="shared" si="0"/>
        <v>0</v>
      </c>
      <c r="M21" s="638">
        <f t="shared" si="7"/>
        <v>0</v>
      </c>
      <c r="N21" s="175">
        <f>IF($B$10&lt;3,0,
IF(AND($B$10&gt;2,($B21*(1+$H$13)*(1+$L$13)*(1+$P$13))&gt;=($L$2*2)),ROUND((($L$2*2)*$C21),0),
IF(AND($B$10&gt;2,($B21*(1+$H$13)*(1+$L$13)*(1+$P$13))&lt;($L$2*2)),ROUND((J21*(1+$P$13)),0))))</f>
        <v>0</v>
      </c>
      <c r="O21" s="175">
        <f>ROUND(N21*$L$8,0)</f>
        <v>0</v>
      </c>
      <c r="P21" s="176">
        <f t="shared" si="1"/>
        <v>0</v>
      </c>
      <c r="Q21" s="638">
        <f t="shared" si="8"/>
        <v>0</v>
      </c>
      <c r="R21" s="175">
        <f>IF($B$10&lt;4,0,
IF(AND($B$10&gt;3,($B21*(1+$H$13)*(1+$L$13)*(1+$P$13)*(1+$T$13))&gt;=($L$2*2)),ROUND((($L$2*2)*$C21),0),
IF(AND($B$10&gt;3,($B21*(1+$H$13)*(1+$L$13)*(1+$P$13)*(1+$T$13))&lt;($L$2*2)),ROUND((N21*(1+$T$13)),0))))</f>
        <v>0</v>
      </c>
      <c r="S21" s="175">
        <f>ROUND(R21*$L$8,0)</f>
        <v>0</v>
      </c>
      <c r="T21" s="176">
        <f t="shared" si="2"/>
        <v>0</v>
      </c>
      <c r="U21" s="638">
        <f t="shared" si="9"/>
        <v>0</v>
      </c>
      <c r="V21" s="175">
        <f>IF($B$10&lt;5,0,
IF(AND($B$10&gt;4,($B21*(1+$H$13)*(1+$L$13)*(1+$P$13)*(1+$T$13)*(1+$X$13))&gt;=($L$2*2)),ROUND((($L$2*2)*$C21),0),
IF(AND($B$10&gt;4,($B21*(1+$H$13)*(1+$L$13)*(1+$P$13)*(1+$T$13)*(1+$X$13))&lt;($L$2*2)),ROUND((R21*(1+$X$13)),0))))</f>
        <v>0</v>
      </c>
      <c r="W21" s="175">
        <f>ROUND(V21*$L$8,0)</f>
        <v>0</v>
      </c>
      <c r="X21" s="176">
        <f t="shared" si="3"/>
        <v>0</v>
      </c>
      <c r="Y21" s="145">
        <f t="shared" si="4"/>
        <v>0</v>
      </c>
      <c r="Z21" s="206" t="s">
        <v>54</v>
      </c>
    </row>
    <row r="22" spans="1:85" x14ac:dyDescent="0.2">
      <c r="A22" s="113" t="s">
        <v>55</v>
      </c>
      <c r="B22" s="133"/>
      <c r="C22" s="604"/>
      <c r="D22" s="640">
        <f t="shared" ref="D22:D28" si="11">12*C22</f>
        <v>0</v>
      </c>
      <c r="E22" s="638">
        <f t="shared" si="10"/>
        <v>0</v>
      </c>
      <c r="F22" s="175">
        <f t="shared" ref="F22:F28" si="12">IF(($B22*(1+$H$13))&gt;=$L$3,ROUND($L$3*C22,0),ROUND(($C22*$B22*(1+$H$13)),0))</f>
        <v>0</v>
      </c>
      <c r="G22" s="175">
        <f>ROUND(F22*$L$5,0)</f>
        <v>0</v>
      </c>
      <c r="H22" s="176">
        <f t="shared" si="5"/>
        <v>0</v>
      </c>
      <c r="I22" s="638">
        <f t="shared" si="6"/>
        <v>0</v>
      </c>
      <c r="J22" s="175">
        <f t="shared" ref="J22:J28" si="13">IF($B$10&lt;2,0,
IF(AND($B$10&gt;1,($B22*(1+$H$13)*(1+$L$13))&gt;=$L$3),ROUND(($L$3*$C22),0),
IF(AND($B$10&gt;1,($B22*(1+$H$13)*(1+$L$13))&lt;$L$3),ROUND((F22*(1+$L$13)),0))))</f>
        <v>0</v>
      </c>
      <c r="K22" s="175">
        <f>ROUND(J22*$L$5,0)</f>
        <v>0</v>
      </c>
      <c r="L22" s="176">
        <f t="shared" si="0"/>
        <v>0</v>
      </c>
      <c r="M22" s="638">
        <f t="shared" si="7"/>
        <v>0</v>
      </c>
      <c r="N22" s="175">
        <f t="shared" ref="N22:N27" si="14">IF($B$10&lt;3,0,
IF(AND($B$10&gt;2,($B22*(1+$H$13)*(1+$L$13)*(1+$P$13))&gt;=$L$3),ROUND(($L$3*$C22),0),
IF(AND($B$10&gt;2,($B22*(1+$H$13)*(1+$L$13)*(1+$P$13))&lt;$L$3),ROUND((J22*(1+$P$13)),0))))</f>
        <v>0</v>
      </c>
      <c r="O22" s="175">
        <f>ROUND(N22*$L$5,0)</f>
        <v>0</v>
      </c>
      <c r="P22" s="176">
        <f t="shared" si="1"/>
        <v>0</v>
      </c>
      <c r="Q22" s="638">
        <f t="shared" si="8"/>
        <v>0</v>
      </c>
      <c r="R22" s="175">
        <f t="shared" ref="R22:R28" si="15">IF($B$10&lt;4,0,
IF(AND($B$10&gt;3,($B22*(1+$H$13)*(1+$L$13)*(1+$P$13)*(1+$T$13))&gt;=$L$3),ROUND(($L$3*$C22),0),
IF(AND($B$10&gt;3,($B22*(1+$H$13)*(1+$L$13)*(1+$P$13)*(1+$T$13))&lt;$L$3),ROUND((N22*(1+$T$13)),0))))</f>
        <v>0</v>
      </c>
      <c r="S22" s="175">
        <f>ROUND(R22*$L$5,0)</f>
        <v>0</v>
      </c>
      <c r="T22" s="176">
        <f t="shared" si="2"/>
        <v>0</v>
      </c>
      <c r="U22" s="638">
        <f t="shared" si="9"/>
        <v>0</v>
      </c>
      <c r="V22" s="175">
        <f t="shared" ref="V22:V28" si="16">IF($B$10&lt;5,0,
IF(AND($B$10&gt;4,($B22*(1+$H$13)*(1+$L$13)*(1+$P$13)*(1+$T$13)*(1+$X$13))&gt;=$L$3),ROUND(($L$3*$C22),0),
IF(AND($B$10&gt;4,($B22*(1+$H$13)*(1+$L$13)*(1+$P$13)*(1+$T$13)*(1+$X$13))&lt;$L$3),ROUND((R22*(1+$X$13)),0))))</f>
        <v>0</v>
      </c>
      <c r="W22" s="175">
        <f>ROUND(V22*$L$5,0)</f>
        <v>0</v>
      </c>
      <c r="X22" s="176">
        <f t="shared" si="3"/>
        <v>0</v>
      </c>
      <c r="Y22" s="145">
        <f t="shared" si="4"/>
        <v>0</v>
      </c>
      <c r="Z22" s="206" t="s">
        <v>55</v>
      </c>
    </row>
    <row r="23" spans="1:85" x14ac:dyDescent="0.2">
      <c r="A23" s="258" t="s">
        <v>200</v>
      </c>
      <c r="B23" s="674">
        <v>66560</v>
      </c>
      <c r="C23" s="603"/>
      <c r="D23" s="640">
        <f t="shared" si="11"/>
        <v>0</v>
      </c>
      <c r="E23" s="638">
        <f t="shared" si="10"/>
        <v>66560</v>
      </c>
      <c r="F23" s="175">
        <f t="shared" si="12"/>
        <v>0</v>
      </c>
      <c r="G23" s="175">
        <f>ROUND(F23*$L$5,0)</f>
        <v>0</v>
      </c>
      <c r="H23" s="176">
        <f t="shared" si="5"/>
        <v>0</v>
      </c>
      <c r="I23" s="638">
        <f t="shared" si="6"/>
        <v>0</v>
      </c>
      <c r="J23" s="175">
        <f t="shared" si="13"/>
        <v>0</v>
      </c>
      <c r="K23" s="175">
        <f>ROUND(J23*$L$5,0)</f>
        <v>0</v>
      </c>
      <c r="L23" s="176">
        <f t="shared" si="0"/>
        <v>0</v>
      </c>
      <c r="M23" s="638">
        <f t="shared" si="7"/>
        <v>0</v>
      </c>
      <c r="N23" s="175">
        <f t="shared" si="14"/>
        <v>0</v>
      </c>
      <c r="O23" s="175">
        <f>ROUND(N23*$L$5,0)</f>
        <v>0</v>
      </c>
      <c r="P23" s="176">
        <f t="shared" si="1"/>
        <v>0</v>
      </c>
      <c r="Q23" s="638">
        <f t="shared" si="8"/>
        <v>0</v>
      </c>
      <c r="R23" s="175">
        <f t="shared" si="15"/>
        <v>0</v>
      </c>
      <c r="S23" s="175">
        <f>ROUND(R23*$L$5,0)</f>
        <v>0</v>
      </c>
      <c r="T23" s="176">
        <f t="shared" si="2"/>
        <v>0</v>
      </c>
      <c r="U23" s="638">
        <f t="shared" si="9"/>
        <v>0</v>
      </c>
      <c r="V23" s="175">
        <f t="shared" si="16"/>
        <v>0</v>
      </c>
      <c r="W23" s="175">
        <f>ROUND(V23*$L$5,0)</f>
        <v>0</v>
      </c>
      <c r="X23" s="176">
        <f t="shared" si="3"/>
        <v>0</v>
      </c>
      <c r="Y23" s="145">
        <f t="shared" si="4"/>
        <v>0</v>
      </c>
      <c r="Z23" s="206" t="s">
        <v>56</v>
      </c>
    </row>
    <row r="24" spans="1:85" x14ac:dyDescent="0.2">
      <c r="A24" s="258" t="s">
        <v>201</v>
      </c>
      <c r="B24" s="674"/>
      <c r="C24" s="603"/>
      <c r="D24" s="640">
        <f t="shared" si="11"/>
        <v>0</v>
      </c>
      <c r="E24" s="638">
        <f t="shared" si="10"/>
        <v>0</v>
      </c>
      <c r="F24" s="175">
        <f t="shared" si="12"/>
        <v>0</v>
      </c>
      <c r="G24" s="175">
        <f>ROUND(F24*$L$5,0)</f>
        <v>0</v>
      </c>
      <c r="H24" s="176">
        <f t="shared" si="5"/>
        <v>0</v>
      </c>
      <c r="I24" s="638">
        <f t="shared" si="6"/>
        <v>0</v>
      </c>
      <c r="J24" s="175">
        <f t="shared" si="13"/>
        <v>0</v>
      </c>
      <c r="K24" s="175">
        <f>ROUND(J24*$L$5,0)</f>
        <v>0</v>
      </c>
      <c r="L24" s="176">
        <f t="shared" si="0"/>
        <v>0</v>
      </c>
      <c r="M24" s="638">
        <f t="shared" si="7"/>
        <v>0</v>
      </c>
      <c r="N24" s="175">
        <f t="shared" si="14"/>
        <v>0</v>
      </c>
      <c r="O24" s="175">
        <f>ROUND(N24*$L$5,0)</f>
        <v>0</v>
      </c>
      <c r="P24" s="176">
        <f t="shared" si="1"/>
        <v>0</v>
      </c>
      <c r="Q24" s="638">
        <f t="shared" si="8"/>
        <v>0</v>
      </c>
      <c r="R24" s="175">
        <f t="shared" si="15"/>
        <v>0</v>
      </c>
      <c r="S24" s="175">
        <f>ROUND(R24*$L$5,0)</f>
        <v>0</v>
      </c>
      <c r="T24" s="176">
        <f t="shared" si="2"/>
        <v>0</v>
      </c>
      <c r="U24" s="638">
        <f t="shared" si="9"/>
        <v>0</v>
      </c>
      <c r="V24" s="175">
        <f t="shared" si="16"/>
        <v>0</v>
      </c>
      <c r="W24" s="175">
        <f>ROUND(V24*$L$5,0)</f>
        <v>0</v>
      </c>
      <c r="X24" s="176">
        <f t="shared" si="3"/>
        <v>0</v>
      </c>
      <c r="Y24" s="145">
        <f t="shared" si="4"/>
        <v>0</v>
      </c>
      <c r="Z24" s="206" t="s">
        <v>56</v>
      </c>
    </row>
    <row r="25" spans="1:85" x14ac:dyDescent="0.2">
      <c r="A25" s="675" t="s">
        <v>57</v>
      </c>
      <c r="B25" s="674"/>
      <c r="C25" s="603"/>
      <c r="D25" s="640">
        <f t="shared" si="11"/>
        <v>0</v>
      </c>
      <c r="E25" s="638">
        <f t="shared" si="10"/>
        <v>0</v>
      </c>
      <c r="F25" s="175">
        <f t="shared" si="12"/>
        <v>0</v>
      </c>
      <c r="G25" s="175">
        <f>IF($C25&gt;50%,ROUND((F25*$L$6),0),ROUND((F25*$L$8),0))</f>
        <v>0</v>
      </c>
      <c r="H25" s="176">
        <f t="shared" si="5"/>
        <v>0</v>
      </c>
      <c r="I25" s="638">
        <f t="shared" si="6"/>
        <v>0</v>
      </c>
      <c r="J25" s="175">
        <f t="shared" si="13"/>
        <v>0</v>
      </c>
      <c r="K25" s="175">
        <f>IF($C25&gt;50%,ROUND((J25*$L$6),0),ROUND((J25*$L$8),0))</f>
        <v>0</v>
      </c>
      <c r="L25" s="176">
        <f t="shared" si="0"/>
        <v>0</v>
      </c>
      <c r="M25" s="638">
        <f t="shared" si="7"/>
        <v>0</v>
      </c>
      <c r="N25" s="175">
        <f t="shared" si="14"/>
        <v>0</v>
      </c>
      <c r="O25" s="175">
        <f>IF($C25&gt;50%,ROUND((N25*$L$6),0),ROUND((N25*$L$8),0))</f>
        <v>0</v>
      </c>
      <c r="P25" s="176">
        <f t="shared" si="1"/>
        <v>0</v>
      </c>
      <c r="Q25" s="638">
        <f t="shared" si="8"/>
        <v>0</v>
      </c>
      <c r="R25" s="175">
        <f t="shared" si="15"/>
        <v>0</v>
      </c>
      <c r="S25" s="175">
        <f>IF($C25&gt;50%,ROUND((R25*$L$6),0),ROUND((R25*$L$8),0))</f>
        <v>0</v>
      </c>
      <c r="T25" s="176">
        <f t="shared" si="2"/>
        <v>0</v>
      </c>
      <c r="U25" s="638">
        <f t="shared" si="9"/>
        <v>0</v>
      </c>
      <c r="V25" s="175">
        <f t="shared" si="16"/>
        <v>0</v>
      </c>
      <c r="W25" s="175">
        <f>IF($C25&gt;50%,ROUND((V25*$L$6),0),ROUND((V25*$L$8),0))</f>
        <v>0</v>
      </c>
      <c r="X25" s="176">
        <f t="shared" si="3"/>
        <v>0</v>
      </c>
      <c r="Y25" s="145">
        <f t="shared" si="4"/>
        <v>0</v>
      </c>
      <c r="Z25" s="206" t="s">
        <v>57</v>
      </c>
    </row>
    <row r="26" spans="1:85" x14ac:dyDescent="0.2">
      <c r="A26" s="258" t="s">
        <v>58</v>
      </c>
      <c r="B26" s="580">
        <f>35.77*2080</f>
        <v>74401.600000000006</v>
      </c>
      <c r="C26" s="603"/>
      <c r="D26" s="640">
        <f t="shared" si="11"/>
        <v>0</v>
      </c>
      <c r="E26" s="638">
        <f t="shared" si="10"/>
        <v>74401.600000000006</v>
      </c>
      <c r="F26" s="175">
        <f t="shared" si="12"/>
        <v>0</v>
      </c>
      <c r="G26" s="175">
        <f>ROUND(F26*$L$7,0)</f>
        <v>0</v>
      </c>
      <c r="H26" s="176">
        <f t="shared" si="5"/>
        <v>0</v>
      </c>
      <c r="I26" s="638">
        <f t="shared" si="6"/>
        <v>0</v>
      </c>
      <c r="J26" s="175">
        <f t="shared" si="13"/>
        <v>0</v>
      </c>
      <c r="K26" s="175">
        <f>ROUND(J26*$L$7,0)</f>
        <v>0</v>
      </c>
      <c r="L26" s="176">
        <f t="shared" si="0"/>
        <v>0</v>
      </c>
      <c r="M26" s="638">
        <f t="shared" si="7"/>
        <v>0</v>
      </c>
      <c r="N26" s="175">
        <f t="shared" si="14"/>
        <v>0</v>
      </c>
      <c r="O26" s="175">
        <f>ROUND(N26*$L$7,0)</f>
        <v>0</v>
      </c>
      <c r="P26" s="176">
        <f t="shared" si="1"/>
        <v>0</v>
      </c>
      <c r="Q26" s="638">
        <f t="shared" si="8"/>
        <v>0</v>
      </c>
      <c r="R26" s="175">
        <f t="shared" si="15"/>
        <v>0</v>
      </c>
      <c r="S26" s="175">
        <f>ROUND(R26*$L$7,0)</f>
        <v>0</v>
      </c>
      <c r="T26" s="176">
        <f t="shared" si="2"/>
        <v>0</v>
      </c>
      <c r="U26" s="638">
        <f t="shared" si="9"/>
        <v>0</v>
      </c>
      <c r="V26" s="175">
        <f t="shared" si="16"/>
        <v>0</v>
      </c>
      <c r="W26" s="175">
        <f>ROUND(V26*$L$7,0)</f>
        <v>0</v>
      </c>
      <c r="X26" s="176">
        <f t="shared" si="3"/>
        <v>0</v>
      </c>
      <c r="Y26" s="145">
        <f t="shared" si="4"/>
        <v>0</v>
      </c>
      <c r="Z26" s="206" t="s">
        <v>59</v>
      </c>
    </row>
    <row r="27" spans="1:85" x14ac:dyDescent="0.2">
      <c r="A27" s="258" t="s">
        <v>60</v>
      </c>
      <c r="B27" s="580">
        <f>37.82*2080</f>
        <v>78665.600000000006</v>
      </c>
      <c r="C27" s="603"/>
      <c r="D27" s="640">
        <f t="shared" si="11"/>
        <v>0</v>
      </c>
      <c r="E27" s="638">
        <f t="shared" si="10"/>
        <v>78665.600000000006</v>
      </c>
      <c r="F27" s="175">
        <f t="shared" si="12"/>
        <v>0</v>
      </c>
      <c r="G27" s="175">
        <f>ROUND(F27*$L$7,0)</f>
        <v>0</v>
      </c>
      <c r="H27" s="176">
        <f t="shared" si="5"/>
        <v>0</v>
      </c>
      <c r="I27" s="638">
        <f t="shared" si="6"/>
        <v>0</v>
      </c>
      <c r="J27" s="175">
        <f t="shared" si="13"/>
        <v>0</v>
      </c>
      <c r="K27" s="175">
        <f>ROUND(J27*$L$7,0)</f>
        <v>0</v>
      </c>
      <c r="L27" s="176">
        <f t="shared" si="0"/>
        <v>0</v>
      </c>
      <c r="M27" s="638">
        <f t="shared" si="7"/>
        <v>0</v>
      </c>
      <c r="N27" s="175">
        <f t="shared" si="14"/>
        <v>0</v>
      </c>
      <c r="O27" s="175">
        <f>ROUND(N27*$L$7,0)</f>
        <v>0</v>
      </c>
      <c r="P27" s="176">
        <f t="shared" si="1"/>
        <v>0</v>
      </c>
      <c r="Q27" s="638">
        <f t="shared" si="8"/>
        <v>0</v>
      </c>
      <c r="R27" s="175">
        <f t="shared" si="15"/>
        <v>0</v>
      </c>
      <c r="S27" s="175">
        <f>ROUND(R27*$L$7,0)</f>
        <v>0</v>
      </c>
      <c r="T27" s="176">
        <f t="shared" si="2"/>
        <v>0</v>
      </c>
      <c r="U27" s="638">
        <f t="shared" si="9"/>
        <v>0</v>
      </c>
      <c r="V27" s="175">
        <f t="shared" si="16"/>
        <v>0</v>
      </c>
      <c r="W27" s="175">
        <f>ROUND(V27*$L$7,0)</f>
        <v>0</v>
      </c>
      <c r="X27" s="176">
        <f t="shared" si="3"/>
        <v>0</v>
      </c>
      <c r="Y27" s="145">
        <f t="shared" si="4"/>
        <v>0</v>
      </c>
      <c r="Z27" s="206" t="s">
        <v>61</v>
      </c>
    </row>
    <row r="28" spans="1:85" ht="13.5" thickBot="1" x14ac:dyDescent="0.25">
      <c r="A28" s="259" t="s">
        <v>62</v>
      </c>
      <c r="B28" s="115">
        <f>16*2080</f>
        <v>33280</v>
      </c>
      <c r="C28" s="135"/>
      <c r="D28" s="641">
        <f t="shared" si="11"/>
        <v>0</v>
      </c>
      <c r="E28" s="639">
        <f t="shared" si="10"/>
        <v>33280</v>
      </c>
      <c r="F28" s="177">
        <f t="shared" si="12"/>
        <v>0</v>
      </c>
      <c r="G28" s="177">
        <f>ROUND(F28*$L$7,0)</f>
        <v>0</v>
      </c>
      <c r="H28" s="178">
        <f t="shared" si="5"/>
        <v>0</v>
      </c>
      <c r="I28" s="639">
        <f t="shared" si="6"/>
        <v>0</v>
      </c>
      <c r="J28" s="177">
        <f t="shared" si="13"/>
        <v>0</v>
      </c>
      <c r="K28" s="177">
        <f>ROUND(J28*$L$7,0)</f>
        <v>0</v>
      </c>
      <c r="L28" s="178">
        <f t="shared" si="0"/>
        <v>0</v>
      </c>
      <c r="M28" s="639">
        <f t="shared" si="7"/>
        <v>0</v>
      </c>
      <c r="N28" s="177">
        <f>IF($B$10&lt;2,0,
IF(AND($B$10&gt;1,($B28*(1+$H$13)*(1+$L$13)*(1+$P$13))&gt;=$L$3),ROUND(($L$3*$C28),0),
IF(AND($B$10&gt;1,($B28*(1+$H$13)*(1+$L$13)*(1+$P$13))&lt;$L$3),ROUND((J28*(1+$P$13)),0))))</f>
        <v>0</v>
      </c>
      <c r="O28" s="177">
        <f>ROUND(N28*$L$7,0)</f>
        <v>0</v>
      </c>
      <c r="P28" s="178">
        <f t="shared" si="1"/>
        <v>0</v>
      </c>
      <c r="Q28" s="638">
        <f t="shared" si="8"/>
        <v>0</v>
      </c>
      <c r="R28" s="177">
        <f t="shared" si="15"/>
        <v>0</v>
      </c>
      <c r="S28" s="177">
        <f>ROUND(R28*$L$7,0)</f>
        <v>0</v>
      </c>
      <c r="T28" s="178">
        <f t="shared" si="2"/>
        <v>0</v>
      </c>
      <c r="U28" s="638">
        <f t="shared" si="9"/>
        <v>0</v>
      </c>
      <c r="V28" s="177">
        <f t="shared" si="16"/>
        <v>0</v>
      </c>
      <c r="W28" s="177">
        <f>ROUND(V28*$L$7,0)</f>
        <v>0</v>
      </c>
      <c r="X28" s="178">
        <f t="shared" si="3"/>
        <v>0</v>
      </c>
      <c r="Y28" s="145">
        <f t="shared" si="4"/>
        <v>0</v>
      </c>
      <c r="Z28" s="206" t="s">
        <v>63</v>
      </c>
    </row>
    <row r="29" spans="1:85" ht="13.5" thickBot="1" x14ac:dyDescent="0.25">
      <c r="A29" s="260" t="s">
        <v>64</v>
      </c>
      <c r="B29" s="374"/>
      <c r="C29" s="375"/>
      <c r="D29" s="374"/>
      <c r="E29" s="654"/>
      <c r="F29" s="177">
        <f t="shared" ref="F29:Y29" si="17">SUM(F18:F28)</f>
        <v>0</v>
      </c>
      <c r="G29" s="177">
        <f t="shared" si="17"/>
        <v>0</v>
      </c>
      <c r="H29" s="180">
        <f t="shared" si="17"/>
        <v>0</v>
      </c>
      <c r="I29" s="637"/>
      <c r="J29" s="177">
        <f t="shared" si="17"/>
        <v>0</v>
      </c>
      <c r="K29" s="177">
        <f t="shared" si="17"/>
        <v>0</v>
      </c>
      <c r="L29" s="180">
        <f t="shared" si="17"/>
        <v>0</v>
      </c>
      <c r="M29" s="637"/>
      <c r="N29" s="177">
        <f t="shared" si="17"/>
        <v>0</v>
      </c>
      <c r="O29" s="177">
        <f t="shared" si="17"/>
        <v>0</v>
      </c>
      <c r="P29" s="180">
        <f t="shared" si="17"/>
        <v>0</v>
      </c>
      <c r="Q29" s="637"/>
      <c r="R29" s="177">
        <f t="shared" si="17"/>
        <v>0</v>
      </c>
      <c r="S29" s="177">
        <f t="shared" si="17"/>
        <v>0</v>
      </c>
      <c r="T29" s="180">
        <f t="shared" si="17"/>
        <v>0</v>
      </c>
      <c r="U29" s="637"/>
      <c r="V29" s="177">
        <f t="shared" si="17"/>
        <v>0</v>
      </c>
      <c r="W29" s="177">
        <f t="shared" si="17"/>
        <v>0</v>
      </c>
      <c r="X29" s="189">
        <f t="shared" si="17"/>
        <v>0</v>
      </c>
      <c r="Y29" s="146">
        <f t="shared" si="17"/>
        <v>0</v>
      </c>
      <c r="Z29" s="207" t="s">
        <v>64</v>
      </c>
      <c r="AA29" s="3"/>
      <c r="AB29" s="3"/>
      <c r="AC29" s="3"/>
      <c r="AD29" s="3"/>
    </row>
    <row r="30" spans="1:85" ht="13.5" thickBot="1" x14ac:dyDescent="0.25">
      <c r="A30" s="260"/>
      <c r="B30" s="261"/>
      <c r="C30" s="262"/>
      <c r="D30" s="261"/>
      <c r="E30" s="261"/>
      <c r="F30" s="261"/>
      <c r="G30" s="261"/>
      <c r="H30" s="263"/>
      <c r="I30" s="263"/>
      <c r="J30" s="261"/>
      <c r="K30" s="261"/>
      <c r="L30" s="263"/>
      <c r="M30" s="263"/>
      <c r="N30" s="261"/>
      <c r="O30" s="261"/>
      <c r="P30" s="263"/>
      <c r="Q30" s="263"/>
      <c r="R30" s="261"/>
      <c r="S30" s="261"/>
      <c r="T30" s="263"/>
      <c r="U30" s="263"/>
      <c r="V30" s="261"/>
      <c r="W30" s="261"/>
      <c r="X30" s="263"/>
      <c r="Y30" s="147">
        <f>SUM(V29,R29,N29,J29,F29)</f>
        <v>0</v>
      </c>
      <c r="Z30" s="207" t="s">
        <v>66</v>
      </c>
      <c r="AA30" s="3"/>
      <c r="AB30" s="3"/>
      <c r="AC30" s="3"/>
      <c r="AD30" s="3"/>
    </row>
    <row r="31" spans="1:85" ht="13.5" thickBot="1" x14ac:dyDescent="0.25">
      <c r="A31" s="264"/>
      <c r="B31" s="265"/>
      <c r="C31" s="266"/>
      <c r="D31" s="265"/>
      <c r="E31" s="265"/>
      <c r="F31" s="265"/>
      <c r="G31" s="265"/>
      <c r="H31" s="267" t="s">
        <v>37</v>
      </c>
      <c r="I31" s="267"/>
      <c r="J31" s="268"/>
      <c r="K31" s="268"/>
      <c r="L31" s="267" t="s">
        <v>38</v>
      </c>
      <c r="M31" s="267"/>
      <c r="N31" s="268"/>
      <c r="O31" s="268"/>
      <c r="P31" s="267" t="s">
        <v>39</v>
      </c>
      <c r="Q31" s="267"/>
      <c r="R31" s="268"/>
      <c r="S31" s="268"/>
      <c r="T31" s="267" t="s">
        <v>40</v>
      </c>
      <c r="U31" s="267"/>
      <c r="V31" s="268"/>
      <c r="W31" s="268"/>
      <c r="X31" s="267" t="s">
        <v>41</v>
      </c>
      <c r="Y31" s="148">
        <f>W29+S29+O29+K29+G29</f>
        <v>0</v>
      </c>
      <c r="Z31" s="208" t="s">
        <v>67</v>
      </c>
      <c r="AA31" s="3"/>
      <c r="AB31" s="3"/>
      <c r="AC31" s="3"/>
      <c r="AD31" s="3"/>
    </row>
    <row r="32" spans="1:85" s="3" customFormat="1" ht="13.5" thickBot="1" x14ac:dyDescent="0.25">
      <c r="A32" s="269" t="s">
        <v>68</v>
      </c>
      <c r="B32" s="313"/>
      <c r="C32" s="314"/>
      <c r="D32" s="693"/>
      <c r="E32" s="693"/>
      <c r="F32" s="787"/>
      <c r="G32" s="757"/>
      <c r="H32" s="116">
        <v>0</v>
      </c>
      <c r="I32" s="618"/>
      <c r="J32" s="693"/>
      <c r="K32" s="757"/>
      <c r="L32" s="116">
        <v>0</v>
      </c>
      <c r="M32" s="618"/>
      <c r="N32" s="693"/>
      <c r="O32" s="757"/>
      <c r="P32" s="116">
        <v>0</v>
      </c>
      <c r="Q32" s="618"/>
      <c r="R32" s="693"/>
      <c r="S32" s="757"/>
      <c r="T32" s="116">
        <v>0</v>
      </c>
      <c r="U32" s="618"/>
      <c r="V32" s="693"/>
      <c r="W32" s="757"/>
      <c r="X32" s="116">
        <v>0</v>
      </c>
      <c r="Y32" s="149">
        <f>X32+T32+P32+L32+H32</f>
        <v>0</v>
      </c>
      <c r="Z32" s="209" t="s">
        <v>69</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row>
    <row r="33" spans="1:85" x14ac:dyDescent="0.2">
      <c r="A33" s="275" t="s">
        <v>70</v>
      </c>
      <c r="B33" s="261"/>
      <c r="C33" s="276"/>
      <c r="D33" s="708"/>
      <c r="E33" s="708"/>
      <c r="F33" s="765"/>
      <c r="G33" s="766"/>
      <c r="H33" s="117">
        <v>0</v>
      </c>
      <c r="I33" s="619"/>
      <c r="J33" s="691"/>
      <c r="K33" s="764"/>
      <c r="L33" s="117">
        <v>0</v>
      </c>
      <c r="M33" s="619"/>
      <c r="N33" s="691"/>
      <c r="O33" s="764"/>
      <c r="P33" s="117">
        <v>0</v>
      </c>
      <c r="Q33" s="619"/>
      <c r="R33" s="691"/>
      <c r="S33" s="764"/>
      <c r="T33" s="117">
        <v>0</v>
      </c>
      <c r="U33" s="619"/>
      <c r="V33" s="691"/>
      <c r="W33" s="764"/>
      <c r="X33" s="117">
        <v>0</v>
      </c>
      <c r="Y33" s="150">
        <f>SUM(X33,T33,P33,L33,H33)</f>
        <v>0</v>
      </c>
      <c r="Z33" s="200" t="s">
        <v>71</v>
      </c>
      <c r="AA33" s="3"/>
      <c r="AB33" s="3"/>
      <c r="AC33" s="3"/>
      <c r="AD33" s="3"/>
    </row>
    <row r="34" spans="1:85" ht="13.5" thickBot="1" x14ac:dyDescent="0.25">
      <c r="A34" s="275" t="s">
        <v>72</v>
      </c>
      <c r="B34" s="261"/>
      <c r="C34" s="276"/>
      <c r="D34" s="708"/>
      <c r="E34" s="708"/>
      <c r="F34" s="765"/>
      <c r="G34" s="765"/>
      <c r="H34" s="125">
        <v>0</v>
      </c>
      <c r="I34" s="619"/>
      <c r="J34" s="691"/>
      <c r="K34" s="764"/>
      <c r="L34" s="118">
        <v>0</v>
      </c>
      <c r="M34" s="619"/>
      <c r="N34" s="691"/>
      <c r="O34" s="764"/>
      <c r="P34" s="118">
        <v>0</v>
      </c>
      <c r="Q34" s="619"/>
      <c r="R34" s="691"/>
      <c r="S34" s="764"/>
      <c r="T34" s="118">
        <v>0</v>
      </c>
      <c r="U34" s="619"/>
      <c r="V34" s="691"/>
      <c r="W34" s="764"/>
      <c r="X34" s="118">
        <v>0</v>
      </c>
      <c r="Y34" s="151">
        <f>SUM(X34,T34,P34,L34,H34)</f>
        <v>0</v>
      </c>
      <c r="Z34" s="200" t="s">
        <v>73</v>
      </c>
      <c r="AA34" s="3"/>
      <c r="AB34" s="3"/>
      <c r="AC34" s="3"/>
      <c r="AD34" s="3"/>
    </row>
    <row r="35" spans="1:85" ht="13.5" thickBot="1" x14ac:dyDescent="0.25">
      <c r="A35" s="282" t="s">
        <v>74</v>
      </c>
      <c r="B35" s="265"/>
      <c r="C35" s="283"/>
      <c r="D35" s="265"/>
      <c r="E35" s="265"/>
      <c r="F35" s="265"/>
      <c r="G35" s="265"/>
      <c r="H35" s="181">
        <f>H33+H34</f>
        <v>0</v>
      </c>
      <c r="I35" s="620"/>
      <c r="J35" s="265"/>
      <c r="K35" s="265"/>
      <c r="L35" s="181">
        <f>L33+L34</f>
        <v>0</v>
      </c>
      <c r="M35" s="620"/>
      <c r="N35" s="265"/>
      <c r="O35" s="265"/>
      <c r="P35" s="181">
        <f>P33+P34</f>
        <v>0</v>
      </c>
      <c r="Q35" s="620"/>
      <c r="R35" s="265"/>
      <c r="S35" s="265"/>
      <c r="T35" s="181">
        <f>T33+T34</f>
        <v>0</v>
      </c>
      <c r="U35" s="620"/>
      <c r="V35" s="265"/>
      <c r="W35" s="265"/>
      <c r="X35" s="181">
        <f>X33+X34</f>
        <v>0</v>
      </c>
      <c r="Y35" s="152">
        <f>SUM(Y33:Y34)</f>
        <v>0</v>
      </c>
      <c r="Z35" s="210" t="s">
        <v>75</v>
      </c>
    </row>
    <row r="36" spans="1:85" s="465" customFormat="1" outlineLevel="1" x14ac:dyDescent="0.2">
      <c r="A36" s="460" t="s">
        <v>76</v>
      </c>
      <c r="B36" s="461" t="s">
        <v>77</v>
      </c>
      <c r="C36" s="737" t="s">
        <v>78</v>
      </c>
      <c r="D36" s="738"/>
      <c r="E36" s="738"/>
      <c r="F36" s="738"/>
      <c r="G36" s="119"/>
      <c r="H36" s="462"/>
      <c r="I36" s="621"/>
      <c r="J36" s="368" t="s">
        <v>38</v>
      </c>
      <c r="K36" s="119"/>
      <c r="L36" s="462"/>
      <c r="M36" s="621"/>
      <c r="N36" s="369" t="s">
        <v>39</v>
      </c>
      <c r="O36" s="119"/>
      <c r="P36" s="462"/>
      <c r="Q36" s="621"/>
      <c r="R36" s="368" t="s">
        <v>40</v>
      </c>
      <c r="S36" s="119"/>
      <c r="T36" s="462"/>
      <c r="U36" s="621"/>
      <c r="V36" s="368" t="s">
        <v>41</v>
      </c>
      <c r="W36" s="119"/>
      <c r="X36" s="462"/>
      <c r="Y36" s="463"/>
      <c r="Z36" s="464" t="s">
        <v>138</v>
      </c>
      <c r="AC36" s="466"/>
      <c r="AD36" s="467"/>
      <c r="AE36" s="468"/>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190"/>
      <c r="CF36" s="190"/>
      <c r="CG36" s="190"/>
    </row>
    <row r="37" spans="1:85" outlineLevel="1" x14ac:dyDescent="0.2">
      <c r="A37" s="258" t="s">
        <v>79</v>
      </c>
      <c r="B37" s="112"/>
      <c r="C37" s="224"/>
      <c r="D37" s="224"/>
      <c r="E37" s="224"/>
      <c r="F37" s="224"/>
      <c r="G37" s="261"/>
      <c r="H37" s="469">
        <f>B37*$G$36*(1+$H$13)</f>
        <v>0</v>
      </c>
      <c r="I37" s="644"/>
      <c r="J37" s="261"/>
      <c r="K37" s="261"/>
      <c r="L37" s="472">
        <f>IF($B$10&gt;1,ROUND($B37*$K$36*(1+$H$13)*(1+$L$13),0),0)</f>
        <v>0</v>
      </c>
      <c r="M37" s="644"/>
      <c r="N37" s="261"/>
      <c r="O37" s="261"/>
      <c r="P37" s="472">
        <f>IF($B$10&gt;2,ROUND($B37*$O$36*(1+$H$13)*(1+$L$13)*(1+$P$13),0),0)</f>
        <v>0</v>
      </c>
      <c r="Q37" s="644"/>
      <c r="R37" s="261"/>
      <c r="S37" s="261"/>
      <c r="T37" s="472">
        <f>IF($B$10&gt;3,ROUND($B37*$S$36*(1+$H$13)*(1+$L$13)*(1+$P$13)*(1+$T$13),0),0)</f>
        <v>0</v>
      </c>
      <c r="U37" s="644"/>
      <c r="V37" s="261"/>
      <c r="W37" s="261"/>
      <c r="X37" s="472">
        <f>IF($B$10&gt;4,ROUND($B37*$W$36*(1+$H$13)*(1+$L$13)*(1+$P$13)*(1+$T$13)*(1+$X$13),0),0)</f>
        <v>0</v>
      </c>
      <c r="Y37" s="155">
        <f t="shared" ref="Y37:Y42" si="18">SUM(H37,L37,P37,T37,X37)</f>
        <v>0</v>
      </c>
      <c r="Z37" s="206" t="s">
        <v>80</v>
      </c>
    </row>
    <row r="38" spans="1:85" outlineLevel="1" x14ac:dyDescent="0.2">
      <c r="A38" s="258" t="s">
        <v>81</v>
      </c>
      <c r="B38" s="114"/>
      <c r="C38" s="224"/>
      <c r="D38" s="261"/>
      <c r="E38" s="261"/>
      <c r="F38" s="261"/>
      <c r="G38" s="261"/>
      <c r="H38" s="469">
        <f>B38*$G$36*(1+$H$13)</f>
        <v>0</v>
      </c>
      <c r="I38" s="644"/>
      <c r="J38" s="261"/>
      <c r="K38" s="261"/>
      <c r="L38" s="472">
        <f>IF($B$10&gt;1,ROUND($B38*$K$36*(1+$H$13)*(1+$L$13),0),0)</f>
        <v>0</v>
      </c>
      <c r="M38" s="644"/>
      <c r="N38" s="261"/>
      <c r="O38" s="261"/>
      <c r="P38" s="472">
        <f>IF($B$10&gt;2,ROUND($B38*$O$36*(1+$H$13)*(1+$L$13)*(1+$P$13),0),0)</f>
        <v>0</v>
      </c>
      <c r="Q38" s="644"/>
      <c r="R38" s="261"/>
      <c r="S38" s="261"/>
      <c r="T38" s="472">
        <f>IF($B$10&gt;3,ROUND($B38*$S$36*(1+$H$13)*(1+$L$13)*(1+$P$13)*(1+$T$13),0),0)</f>
        <v>0</v>
      </c>
      <c r="U38" s="644"/>
      <c r="V38" s="261"/>
      <c r="W38" s="261"/>
      <c r="X38" s="472">
        <f>IF($B$10&gt;4,ROUND($B38*$W$36*(1+$H$13)*(1+$L$13)*(1+$P$13)*(1+$T$13)*(1+$X$13),0),0)</f>
        <v>0</v>
      </c>
      <c r="Y38" s="155">
        <f t="shared" si="18"/>
        <v>0</v>
      </c>
      <c r="Z38" s="206" t="s">
        <v>82</v>
      </c>
    </row>
    <row r="39" spans="1:85" outlineLevel="1" x14ac:dyDescent="0.2">
      <c r="A39" s="258" t="s">
        <v>83</v>
      </c>
      <c r="B39" s="114"/>
      <c r="C39" s="224"/>
      <c r="D39" s="261"/>
      <c r="E39" s="261"/>
      <c r="F39" s="261"/>
      <c r="G39" s="261"/>
      <c r="H39" s="469">
        <f>B39*$G$36*(1+$H$13)</f>
        <v>0</v>
      </c>
      <c r="I39" s="644"/>
      <c r="J39" s="261"/>
      <c r="K39" s="261"/>
      <c r="L39" s="472">
        <f>IF($B$10&gt;1,ROUND($B39*$K$36*(1+$H$13)*(1+$L$13),0),0)</f>
        <v>0</v>
      </c>
      <c r="M39" s="644"/>
      <c r="N39" s="261"/>
      <c r="O39" s="261"/>
      <c r="P39" s="472">
        <f>IF($B$10&gt;2,ROUND($B39*$O$36*(1+$H$13)*(1+$L$13)*(1+$P$13),0),0)</f>
        <v>0</v>
      </c>
      <c r="Q39" s="644"/>
      <c r="R39" s="261"/>
      <c r="S39" s="261"/>
      <c r="T39" s="472">
        <f>IF($B$10&gt;3,ROUND($B39*$S$36*(1+$H$13)*(1+$L$13)*(1+$P$13)*(1+$T$13),0),0)</f>
        <v>0</v>
      </c>
      <c r="U39" s="644"/>
      <c r="V39" s="261"/>
      <c r="W39" s="261"/>
      <c r="X39" s="472">
        <f>IF($B$10&gt;4,ROUND($B39*$W$36*(1+$H$13)*(1+$L$13)*(1+$P$13)*(1+$T$13)*(1+$X$13),0),0)</f>
        <v>0</v>
      </c>
      <c r="Y39" s="155">
        <f t="shared" si="18"/>
        <v>0</v>
      </c>
      <c r="Z39" s="206" t="s">
        <v>84</v>
      </c>
    </row>
    <row r="40" spans="1:85" outlineLevel="1" x14ac:dyDescent="0.2">
      <c r="A40" s="258" t="s">
        <v>85</v>
      </c>
      <c r="B40" s="114"/>
      <c r="C40" s="224"/>
      <c r="D40" s="261"/>
      <c r="E40" s="261"/>
      <c r="F40" s="261"/>
      <c r="G40" s="261"/>
      <c r="H40" s="469">
        <f>B40*$G$36*(1+$H$13)</f>
        <v>0</v>
      </c>
      <c r="I40" s="644"/>
      <c r="J40" s="261"/>
      <c r="K40" s="261"/>
      <c r="L40" s="472">
        <f>IF($B$10&gt;1,ROUND($B40*$K$36*(1+$H$13)*(1+$L$13),0),0)</f>
        <v>0</v>
      </c>
      <c r="M40" s="644"/>
      <c r="N40" s="261"/>
      <c r="O40" s="261"/>
      <c r="P40" s="472">
        <f>IF($B$10&gt;2,ROUND($B40*$O$36*(1+$H$13)*(1+$L$13)*(1+$P$13),0),0)</f>
        <v>0</v>
      </c>
      <c r="Q40" s="644"/>
      <c r="R40" s="261"/>
      <c r="S40" s="261"/>
      <c r="T40" s="472">
        <f>IF($B$10&gt;3,ROUND($B40*$S$36*(1+$H$13)*(1+$L$13)*(1+$P$13)*(1+$T$13),0),0)</f>
        <v>0</v>
      </c>
      <c r="U40" s="644"/>
      <c r="V40" s="261"/>
      <c r="W40" s="261"/>
      <c r="X40" s="472">
        <f>IF($B$10&gt;4,ROUND($B40*$W$36*(1+$H$13)*(1+$L$13)*(1+$P$13)*(1+$T$13)*(1+$X$13),0),0)</f>
        <v>0</v>
      </c>
      <c r="Y40" s="155">
        <f t="shared" si="18"/>
        <v>0</v>
      </c>
      <c r="Z40" s="206" t="s">
        <v>86</v>
      </c>
    </row>
    <row r="41" spans="1:85" ht="13.5" outlineLevel="1" thickBot="1" x14ac:dyDescent="0.25">
      <c r="A41" s="258" t="s">
        <v>87</v>
      </c>
      <c r="B41" s="120"/>
      <c r="C41" s="224"/>
      <c r="D41" s="261"/>
      <c r="E41" s="261"/>
      <c r="F41" s="261"/>
      <c r="G41" s="261"/>
      <c r="H41" s="470">
        <f>B41*$G$36*(1+$H$13)</f>
        <v>0</v>
      </c>
      <c r="I41" s="644"/>
      <c r="J41" s="261"/>
      <c r="K41" s="261"/>
      <c r="L41" s="473">
        <f>IF($B$10&gt;1,ROUND($B41*$K$36*(1+$H$13)*(1+$L$13),0),0)</f>
        <v>0</v>
      </c>
      <c r="M41" s="644"/>
      <c r="N41" s="261"/>
      <c r="O41" s="261"/>
      <c r="P41" s="473">
        <f>IF($B$10&gt;2,ROUND($B41*$O$36*(1+$H$13)*(1+$L$13)*(1+$P$13),0),0)</f>
        <v>0</v>
      </c>
      <c r="Q41" s="644"/>
      <c r="R41" s="261"/>
      <c r="S41" s="261"/>
      <c r="T41" s="472">
        <f>IF($B$10&gt;3,ROUND($B41*$S$36*(1+$H$13)*(1+$L$13)*(1+$P$13)*(1+$T$13),0),0)</f>
        <v>0</v>
      </c>
      <c r="U41" s="644"/>
      <c r="V41" s="261"/>
      <c r="W41" s="261"/>
      <c r="X41" s="472">
        <f>IF($B$10&gt;4,ROUND($B41*$W$36*(1+$H$13)*(1+$L$13)*(1+$P$13)*(1+$T$13)*(1+$X$13),0),0)</f>
        <v>0</v>
      </c>
      <c r="Y41" s="156">
        <f t="shared" si="18"/>
        <v>0</v>
      </c>
      <c r="Z41" s="206" t="s">
        <v>88</v>
      </c>
    </row>
    <row r="42" spans="1:85" ht="13.5" outlineLevel="1" thickBot="1" x14ac:dyDescent="0.25">
      <c r="A42" s="282" t="s">
        <v>89</v>
      </c>
      <c r="B42" s="377"/>
      <c r="C42" s="283"/>
      <c r="D42" s="265"/>
      <c r="E42" s="265"/>
      <c r="F42" s="265"/>
      <c r="G42" s="265"/>
      <c r="H42" s="471">
        <f>SUM(H37:H41)</f>
        <v>0</v>
      </c>
      <c r="I42" s="645"/>
      <c r="J42" s="265"/>
      <c r="K42" s="265"/>
      <c r="L42" s="471">
        <f>SUM(L37:L41)</f>
        <v>0</v>
      </c>
      <c r="M42" s="645"/>
      <c r="N42" s="265"/>
      <c r="O42" s="265"/>
      <c r="P42" s="471">
        <f>SUM(P37:P41)</f>
        <v>0</v>
      </c>
      <c r="Q42" s="645"/>
      <c r="R42" s="265"/>
      <c r="S42" s="265"/>
      <c r="T42" s="471">
        <f>SUM(T37:T41)</f>
        <v>0</v>
      </c>
      <c r="U42" s="645"/>
      <c r="V42" s="265"/>
      <c r="W42" s="265"/>
      <c r="X42" s="471">
        <f>SUM(X37:X41)</f>
        <v>0</v>
      </c>
      <c r="Y42" s="152">
        <f t="shared" si="18"/>
        <v>0</v>
      </c>
      <c r="Z42" s="210" t="s">
        <v>90</v>
      </c>
    </row>
    <row r="43" spans="1:85" x14ac:dyDescent="0.2">
      <c r="A43" s="285" t="s">
        <v>91</v>
      </c>
      <c r="B43" s="788" t="s">
        <v>92</v>
      </c>
      <c r="C43" s="789"/>
      <c r="D43" s="789"/>
      <c r="E43" s="789"/>
      <c r="F43" s="789"/>
      <c r="G43" s="789"/>
      <c r="H43" s="316" t="s">
        <v>37</v>
      </c>
      <c r="I43" s="624"/>
      <c r="J43" s="317"/>
      <c r="K43" s="317"/>
      <c r="L43" s="316" t="s">
        <v>38</v>
      </c>
      <c r="M43" s="624"/>
      <c r="N43" s="317"/>
      <c r="O43" s="317"/>
      <c r="P43" s="316" t="s">
        <v>39</v>
      </c>
      <c r="Q43" s="624"/>
      <c r="R43" s="317"/>
      <c r="S43" s="317"/>
      <c r="T43" s="316" t="s">
        <v>40</v>
      </c>
      <c r="U43" s="624"/>
      <c r="V43" s="317"/>
      <c r="W43" s="317"/>
      <c r="X43" s="316" t="s">
        <v>41</v>
      </c>
      <c r="Y43" s="286"/>
      <c r="Z43" s="211" t="s">
        <v>91</v>
      </c>
    </row>
    <row r="44" spans="1:85" ht="13.5" thickBot="1" x14ac:dyDescent="0.25">
      <c r="A44" s="258" t="s">
        <v>93</v>
      </c>
      <c r="B44" s="126"/>
      <c r="C44" s="378"/>
      <c r="D44" s="378"/>
      <c r="E44" s="378"/>
      <c r="F44" s="378"/>
      <c r="G44" s="261"/>
      <c r="H44" s="117">
        <f>$B44*(1+$H$13)</f>
        <v>0</v>
      </c>
      <c r="I44" s="619"/>
      <c r="J44" s="261"/>
      <c r="K44" s="261"/>
      <c r="L44" s="117">
        <f t="shared" ref="L44:L53" si="19">IF($B$10&gt;1,ROUND($B44*(1+$H$13)*(1+$L$13),0),0)</f>
        <v>0</v>
      </c>
      <c r="M44" s="619"/>
      <c r="N44" s="261"/>
      <c r="O44" s="261"/>
      <c r="P44" s="117">
        <f t="shared" ref="P44:P53" si="20">IF($B$10&gt;2,ROUND($B44*(1+$H$13)*(1+$L$13)*(1+$P$13),0),0)</f>
        <v>0</v>
      </c>
      <c r="Q44" s="619"/>
      <c r="R44" s="261"/>
      <c r="S44" s="261"/>
      <c r="T44" s="117">
        <f t="shared" ref="T44:T53" si="21">IF($B$10&gt;3,ROUND($B44*(1+$H$13)*(1+$L$13)*(1+$P$13)*(1+$T$13),0),0)</f>
        <v>0</v>
      </c>
      <c r="U44" s="619"/>
      <c r="V44" s="261"/>
      <c r="W44" s="261"/>
      <c r="X44" s="117">
        <f t="shared" ref="X44:X53" si="22">IF($B$10&gt;4,ROUND($B44*(1+$H$13)*(1+$L$13)*(1+$P$13)*(1+$T$13)*(1+$X$13),0),0)</f>
        <v>0</v>
      </c>
      <c r="Y44" s="151">
        <f t="shared" ref="Y44:Y53" si="23">SUM(X44,T44,P44,L44,H44)</f>
        <v>0</v>
      </c>
      <c r="Z44" s="577" t="s">
        <v>93</v>
      </c>
    </row>
    <row r="45" spans="1:85" x14ac:dyDescent="0.2">
      <c r="A45" s="258" t="s">
        <v>94</v>
      </c>
      <c r="B45" s="127"/>
      <c r="C45" s="378"/>
      <c r="D45" s="378"/>
      <c r="E45" s="378"/>
      <c r="F45" s="378"/>
      <c r="G45" s="261"/>
      <c r="H45" s="121">
        <f t="shared" ref="H45:H53" si="24">$B45*(1+$H$13)</f>
        <v>0</v>
      </c>
      <c r="I45" s="619"/>
      <c r="J45" s="261"/>
      <c r="K45" s="261"/>
      <c r="L45" s="121">
        <f t="shared" si="19"/>
        <v>0</v>
      </c>
      <c r="M45" s="619"/>
      <c r="N45" s="261"/>
      <c r="O45" s="261"/>
      <c r="P45" s="121">
        <f t="shared" si="20"/>
        <v>0</v>
      </c>
      <c r="Q45" s="619"/>
      <c r="R45" s="261"/>
      <c r="S45" s="261"/>
      <c r="T45" s="121">
        <f t="shared" si="21"/>
        <v>0</v>
      </c>
      <c r="U45" s="619"/>
      <c r="V45" s="261"/>
      <c r="W45" s="261"/>
      <c r="X45" s="121">
        <f t="shared" si="22"/>
        <v>0</v>
      </c>
      <c r="Y45" s="157">
        <f t="shared" si="23"/>
        <v>0</v>
      </c>
      <c r="Z45" s="577" t="s">
        <v>94</v>
      </c>
      <c r="AB45" s="582" t="s">
        <v>178</v>
      </c>
      <c r="AC45" s="583"/>
      <c r="AD45" s="584"/>
      <c r="AE45" s="585"/>
      <c r="AF45" s="586"/>
      <c r="AG45" s="587"/>
    </row>
    <row r="46" spans="1:85" x14ac:dyDescent="0.2">
      <c r="A46" s="258" t="s">
        <v>95</v>
      </c>
      <c r="B46" s="127"/>
      <c r="C46" s="378"/>
      <c r="D46" s="378"/>
      <c r="E46" s="378"/>
      <c r="F46" s="378"/>
      <c r="G46" s="261"/>
      <c r="H46" s="121">
        <f t="shared" si="24"/>
        <v>0</v>
      </c>
      <c r="I46" s="619"/>
      <c r="J46" s="261"/>
      <c r="K46" s="261"/>
      <c r="L46" s="121">
        <f t="shared" si="19"/>
        <v>0</v>
      </c>
      <c r="M46" s="619"/>
      <c r="N46" s="261"/>
      <c r="O46" s="261"/>
      <c r="P46" s="121">
        <f t="shared" si="20"/>
        <v>0</v>
      </c>
      <c r="Q46" s="619"/>
      <c r="R46" s="261"/>
      <c r="S46" s="261"/>
      <c r="T46" s="121">
        <f t="shared" si="21"/>
        <v>0</v>
      </c>
      <c r="U46" s="619"/>
      <c r="V46" s="261"/>
      <c r="W46" s="261"/>
      <c r="X46" s="121">
        <f t="shared" si="22"/>
        <v>0</v>
      </c>
      <c r="Y46" s="157">
        <f t="shared" si="23"/>
        <v>0</v>
      </c>
      <c r="Z46" s="577" t="s">
        <v>95</v>
      </c>
      <c r="AB46" s="588">
        <v>0</v>
      </c>
      <c r="AC46" s="1" t="s">
        <v>179</v>
      </c>
      <c r="AG46" s="589"/>
    </row>
    <row r="47" spans="1:85" x14ac:dyDescent="0.2">
      <c r="A47" s="258" t="s">
        <v>171</v>
      </c>
      <c r="B47" s="128"/>
      <c r="C47" s="379"/>
      <c r="D47" s="379"/>
      <c r="E47" s="379"/>
      <c r="F47" s="379"/>
      <c r="G47" s="261"/>
      <c r="H47" s="121">
        <f t="shared" si="24"/>
        <v>0</v>
      </c>
      <c r="I47" s="619"/>
      <c r="J47" s="263"/>
      <c r="K47" s="261"/>
      <c r="L47" s="121">
        <f t="shared" si="19"/>
        <v>0</v>
      </c>
      <c r="M47" s="619"/>
      <c r="N47" s="263"/>
      <c r="O47" s="261"/>
      <c r="P47" s="121">
        <f t="shared" si="20"/>
        <v>0</v>
      </c>
      <c r="Q47" s="619"/>
      <c r="R47" s="263"/>
      <c r="S47" s="261"/>
      <c r="T47" s="121">
        <f t="shared" si="21"/>
        <v>0</v>
      </c>
      <c r="U47" s="619"/>
      <c r="V47" s="263"/>
      <c r="W47" s="261"/>
      <c r="X47" s="121">
        <f t="shared" si="22"/>
        <v>0</v>
      </c>
      <c r="Y47" s="157">
        <f t="shared" si="23"/>
        <v>0</v>
      </c>
      <c r="Z47" s="577" t="s">
        <v>186</v>
      </c>
      <c r="AB47" s="588">
        <v>0</v>
      </c>
      <c r="AC47" s="1" t="s">
        <v>180</v>
      </c>
      <c r="AG47" s="589"/>
    </row>
    <row r="48" spans="1:85" x14ac:dyDescent="0.2">
      <c r="A48" s="258" t="s">
        <v>172</v>
      </c>
      <c r="B48" s="128"/>
      <c r="C48" s="379"/>
      <c r="D48" s="379"/>
      <c r="E48" s="379"/>
      <c r="F48" s="379"/>
      <c r="G48" s="261"/>
      <c r="H48" s="121">
        <f t="shared" si="24"/>
        <v>0</v>
      </c>
      <c r="I48" s="619"/>
      <c r="J48" s="263"/>
      <c r="K48" s="261"/>
      <c r="L48" s="121">
        <f t="shared" si="19"/>
        <v>0</v>
      </c>
      <c r="M48" s="619"/>
      <c r="N48" s="263"/>
      <c r="O48" s="261"/>
      <c r="P48" s="121">
        <f t="shared" si="20"/>
        <v>0</v>
      </c>
      <c r="Q48" s="619"/>
      <c r="R48" s="263"/>
      <c r="S48" s="261"/>
      <c r="T48" s="121">
        <f t="shared" si="21"/>
        <v>0</v>
      </c>
      <c r="U48" s="619"/>
      <c r="V48" s="263"/>
      <c r="W48" s="261"/>
      <c r="X48" s="121">
        <f t="shared" si="22"/>
        <v>0</v>
      </c>
      <c r="Y48" s="157">
        <f t="shared" ref="Y48" si="25">SUM(X48,T48,P48,L48,H48)</f>
        <v>0</v>
      </c>
      <c r="Z48" s="577" t="s">
        <v>172</v>
      </c>
      <c r="AB48" s="588">
        <v>0</v>
      </c>
      <c r="AC48" s="1" t="s">
        <v>181</v>
      </c>
      <c r="AG48" s="589"/>
    </row>
    <row r="49" spans="1:85" x14ac:dyDescent="0.2">
      <c r="A49" s="258" t="s">
        <v>96</v>
      </c>
      <c r="B49" s="128"/>
      <c r="C49" s="379"/>
      <c r="D49" s="379"/>
      <c r="E49" s="379"/>
      <c r="F49" s="379"/>
      <c r="G49" s="261"/>
      <c r="H49" s="121">
        <f t="shared" si="24"/>
        <v>0</v>
      </c>
      <c r="I49" s="619"/>
      <c r="J49" s="263"/>
      <c r="K49" s="261"/>
      <c r="L49" s="121">
        <f t="shared" si="19"/>
        <v>0</v>
      </c>
      <c r="M49" s="619"/>
      <c r="N49" s="263"/>
      <c r="O49" s="261"/>
      <c r="P49" s="121">
        <f t="shared" si="20"/>
        <v>0</v>
      </c>
      <c r="Q49" s="619"/>
      <c r="R49" s="263"/>
      <c r="S49" s="261"/>
      <c r="T49" s="121">
        <f t="shared" si="21"/>
        <v>0</v>
      </c>
      <c r="U49" s="619"/>
      <c r="V49" s="263"/>
      <c r="W49" s="261"/>
      <c r="X49" s="121">
        <f t="shared" si="22"/>
        <v>0</v>
      </c>
      <c r="Y49" s="157">
        <f t="shared" si="23"/>
        <v>0</v>
      </c>
      <c r="Z49" s="577" t="s">
        <v>96</v>
      </c>
      <c r="AB49" s="588">
        <v>0</v>
      </c>
      <c r="AC49" s="1" t="s">
        <v>182</v>
      </c>
      <c r="AG49" s="589"/>
    </row>
    <row r="50" spans="1:85" x14ac:dyDescent="0.2">
      <c r="A50" s="258" t="s">
        <v>177</v>
      </c>
      <c r="B50" s="128"/>
      <c r="C50" s="379"/>
      <c r="D50" s="379"/>
      <c r="E50" s="379"/>
      <c r="F50" s="379"/>
      <c r="G50" s="261"/>
      <c r="H50" s="121">
        <f t="shared" si="24"/>
        <v>0</v>
      </c>
      <c r="I50" s="619"/>
      <c r="J50" s="263"/>
      <c r="K50" s="261"/>
      <c r="L50" s="121">
        <f t="shared" si="19"/>
        <v>0</v>
      </c>
      <c r="M50" s="619"/>
      <c r="N50" s="263"/>
      <c r="O50" s="261"/>
      <c r="P50" s="121">
        <f t="shared" si="20"/>
        <v>0</v>
      </c>
      <c r="Q50" s="619"/>
      <c r="R50" s="263"/>
      <c r="S50" s="261"/>
      <c r="T50" s="121">
        <f t="shared" si="21"/>
        <v>0</v>
      </c>
      <c r="U50" s="619"/>
      <c r="V50" s="263"/>
      <c r="W50" s="261"/>
      <c r="X50" s="121">
        <f t="shared" si="22"/>
        <v>0</v>
      </c>
      <c r="Y50" s="157">
        <f t="shared" ref="Y50:Y51" si="26">SUM(X50,T50,P50,L50,H50)</f>
        <v>0</v>
      </c>
      <c r="Z50" s="577" t="s">
        <v>173</v>
      </c>
      <c r="AA50" s="578"/>
      <c r="AB50" s="588">
        <v>0</v>
      </c>
      <c r="AC50" s="1" t="s">
        <v>187</v>
      </c>
      <c r="AG50" s="589"/>
    </row>
    <row r="51" spans="1:85" x14ac:dyDescent="0.2">
      <c r="A51" s="258" t="s">
        <v>173</v>
      </c>
      <c r="B51" s="128"/>
      <c r="C51" s="379"/>
      <c r="D51" s="379"/>
      <c r="E51" s="379"/>
      <c r="F51" s="379"/>
      <c r="G51" s="261"/>
      <c r="H51" s="121">
        <f t="shared" si="24"/>
        <v>0</v>
      </c>
      <c r="I51" s="619"/>
      <c r="J51" s="263"/>
      <c r="K51" s="261"/>
      <c r="L51" s="121">
        <f t="shared" si="19"/>
        <v>0</v>
      </c>
      <c r="M51" s="619"/>
      <c r="N51" s="263"/>
      <c r="O51" s="261"/>
      <c r="P51" s="121">
        <f t="shared" si="20"/>
        <v>0</v>
      </c>
      <c r="Q51" s="619"/>
      <c r="R51" s="263"/>
      <c r="S51" s="261"/>
      <c r="T51" s="121">
        <f t="shared" si="21"/>
        <v>0</v>
      </c>
      <c r="U51" s="619"/>
      <c r="V51" s="263"/>
      <c r="W51" s="261"/>
      <c r="X51" s="121">
        <f t="shared" si="22"/>
        <v>0</v>
      </c>
      <c r="Y51" s="157">
        <f t="shared" si="26"/>
        <v>0</v>
      </c>
      <c r="Z51" s="577" t="s">
        <v>177</v>
      </c>
      <c r="AB51" s="590">
        <f>Y51</f>
        <v>0</v>
      </c>
      <c r="AC51" s="1" t="s">
        <v>183</v>
      </c>
      <c r="AG51" s="589"/>
    </row>
    <row r="52" spans="1:85" x14ac:dyDescent="0.2">
      <c r="A52" s="258" t="s">
        <v>97</v>
      </c>
      <c r="B52" s="128"/>
      <c r="C52" s="379"/>
      <c r="D52" s="379"/>
      <c r="E52" s="379"/>
      <c r="F52" s="379"/>
      <c r="G52" s="261"/>
      <c r="H52" s="121">
        <f t="shared" si="24"/>
        <v>0</v>
      </c>
      <c r="I52" s="619"/>
      <c r="J52" s="263"/>
      <c r="K52" s="261"/>
      <c r="L52" s="121">
        <f t="shared" si="19"/>
        <v>0</v>
      </c>
      <c r="M52" s="619"/>
      <c r="N52" s="263"/>
      <c r="O52" s="261"/>
      <c r="P52" s="121">
        <f t="shared" si="20"/>
        <v>0</v>
      </c>
      <c r="Q52" s="619"/>
      <c r="R52" s="263"/>
      <c r="S52" s="261"/>
      <c r="T52" s="121">
        <f t="shared" si="21"/>
        <v>0</v>
      </c>
      <c r="U52" s="619"/>
      <c r="V52" s="263"/>
      <c r="W52" s="261"/>
      <c r="X52" s="121">
        <f t="shared" si="22"/>
        <v>0</v>
      </c>
      <c r="Y52" s="157">
        <f t="shared" si="23"/>
        <v>0</v>
      </c>
      <c r="Z52" s="577" t="s">
        <v>97</v>
      </c>
      <c r="AB52" s="590">
        <f>SUM(AB46:AB51)</f>
        <v>0</v>
      </c>
      <c r="AC52" s="1" t="s">
        <v>184</v>
      </c>
      <c r="AG52" s="589"/>
    </row>
    <row r="53" spans="1:85" ht="13.5" thickBot="1" x14ac:dyDescent="0.25">
      <c r="A53" s="258" t="s">
        <v>97</v>
      </c>
      <c r="B53" s="128"/>
      <c r="C53" s="379"/>
      <c r="D53" s="379"/>
      <c r="E53" s="379"/>
      <c r="F53" s="379"/>
      <c r="G53" s="261"/>
      <c r="H53" s="121">
        <f t="shared" si="24"/>
        <v>0</v>
      </c>
      <c r="I53" s="619"/>
      <c r="J53" s="263"/>
      <c r="K53" s="261"/>
      <c r="L53" s="121">
        <f t="shared" si="19"/>
        <v>0</v>
      </c>
      <c r="M53" s="619"/>
      <c r="N53" s="263"/>
      <c r="O53" s="261"/>
      <c r="P53" s="121">
        <f t="shared" si="20"/>
        <v>0</v>
      </c>
      <c r="Q53" s="619"/>
      <c r="R53" s="263"/>
      <c r="S53" s="261"/>
      <c r="T53" s="121">
        <f t="shared" si="21"/>
        <v>0</v>
      </c>
      <c r="U53" s="619"/>
      <c r="V53" s="263"/>
      <c r="W53" s="261"/>
      <c r="X53" s="121">
        <f t="shared" si="22"/>
        <v>0</v>
      </c>
      <c r="Y53" s="157">
        <f t="shared" si="23"/>
        <v>0</v>
      </c>
      <c r="Z53" s="577" t="s">
        <v>97</v>
      </c>
      <c r="AB53" s="595" t="e">
        <f>AB52/Y78</f>
        <v>#DIV/0!</v>
      </c>
      <c r="AC53" s="591" t="s">
        <v>185</v>
      </c>
      <c r="AD53" s="592"/>
      <c r="AE53" s="593"/>
      <c r="AF53" s="591"/>
      <c r="AG53" s="594"/>
    </row>
    <row r="54" spans="1:85" ht="13.5" thickBot="1" x14ac:dyDescent="0.25">
      <c r="A54" s="282" t="s">
        <v>98</v>
      </c>
      <c r="B54" s="266"/>
      <c r="C54" s="266"/>
      <c r="D54" s="266"/>
      <c r="E54" s="266"/>
      <c r="F54" s="266"/>
      <c r="G54" s="265"/>
      <c r="H54" s="474">
        <f>SUM(H44:H53)</f>
        <v>0</v>
      </c>
      <c r="I54" s="646"/>
      <c r="J54" s="265"/>
      <c r="K54" s="265"/>
      <c r="L54" s="474">
        <f>SUM(L44:L53)</f>
        <v>0</v>
      </c>
      <c r="M54" s="646"/>
      <c r="N54" s="265"/>
      <c r="O54" s="265"/>
      <c r="P54" s="474">
        <f>SUM(P44:P53)</f>
        <v>0</v>
      </c>
      <c r="Q54" s="646"/>
      <c r="R54" s="265"/>
      <c r="S54" s="265"/>
      <c r="T54" s="474">
        <f>SUM(T44:T53)</f>
        <v>0</v>
      </c>
      <c r="U54" s="646"/>
      <c r="V54" s="265"/>
      <c r="W54" s="265"/>
      <c r="X54" s="474">
        <f>SUM(X44:X53)</f>
        <v>0</v>
      </c>
      <c r="Y54" s="152">
        <f>SUM(Y44:Y53)</f>
        <v>0</v>
      </c>
      <c r="Z54" s="210" t="s">
        <v>99</v>
      </c>
      <c r="AA54" s="3"/>
      <c r="AB54" s="3"/>
      <c r="AC54" s="14"/>
    </row>
    <row r="55" spans="1:85" ht="17.25" customHeight="1" outlineLevel="1" x14ac:dyDescent="0.35">
      <c r="A55" s="294" t="s">
        <v>100</v>
      </c>
      <c r="B55" s="170" t="s">
        <v>139</v>
      </c>
      <c r="C55" s="170"/>
      <c r="D55" s="170"/>
      <c r="E55" s="170"/>
      <c r="F55" s="170"/>
      <c r="G55" s="171"/>
      <c r="H55" s="318"/>
      <c r="I55" s="647"/>
      <c r="J55" s="380"/>
      <c r="K55" s="319"/>
      <c r="L55" s="319"/>
      <c r="M55" s="647"/>
      <c r="N55" s="380"/>
      <c r="O55" s="319"/>
      <c r="P55" s="380"/>
      <c r="Q55" s="647"/>
      <c r="R55" s="380"/>
      <c r="S55" s="319"/>
      <c r="T55" s="319"/>
      <c r="U55" s="647"/>
      <c r="V55" s="380"/>
      <c r="W55" s="319"/>
      <c r="X55" s="319"/>
      <c r="Y55" s="320"/>
      <c r="Z55" s="381" t="s">
        <v>100</v>
      </c>
      <c r="AA55" s="12"/>
      <c r="AB55" s="12"/>
      <c r="AC55" s="13"/>
      <c r="AD55" s="14"/>
      <c r="AE55" s="2"/>
      <c r="AF55" s="3"/>
    </row>
    <row r="56" spans="1:85" s="20" customFormat="1" outlineLevel="1" x14ac:dyDescent="0.2">
      <c r="A56" s="122" t="s">
        <v>102</v>
      </c>
      <c r="B56" s="225" t="s">
        <v>103</v>
      </c>
      <c r="C56" s="739"/>
      <c r="D56" s="740"/>
      <c r="E56" s="740"/>
      <c r="F56" s="740"/>
      <c r="G56" s="740"/>
      <c r="H56" s="291" t="s">
        <v>37</v>
      </c>
      <c r="I56" s="601"/>
      <c r="J56" s="321"/>
      <c r="K56" s="321"/>
      <c r="L56" s="291" t="s">
        <v>38</v>
      </c>
      <c r="M56" s="601"/>
      <c r="N56" s="321"/>
      <c r="O56" s="321"/>
      <c r="P56" s="291" t="s">
        <v>39</v>
      </c>
      <c r="Q56" s="601"/>
      <c r="R56" s="321"/>
      <c r="S56" s="321"/>
      <c r="T56" s="291" t="s">
        <v>40</v>
      </c>
      <c r="U56" s="601"/>
      <c r="V56" s="321"/>
      <c r="W56" s="321"/>
      <c r="X56" s="291" t="s">
        <v>41</v>
      </c>
      <c r="Y56" s="286"/>
      <c r="Z56" s="213"/>
      <c r="AA56" s="15"/>
      <c r="AB56" s="15"/>
      <c r="AC56" s="16"/>
      <c r="AD56" s="17"/>
      <c r="AE56" s="18"/>
      <c r="AF56" s="19"/>
    </row>
    <row r="57" spans="1:85" s="20" customFormat="1" outlineLevel="1" x14ac:dyDescent="0.2">
      <c r="A57" s="295" t="s">
        <v>104</v>
      </c>
      <c r="B57" s="296"/>
      <c r="C57" s="297"/>
      <c r="D57" s="224"/>
      <c r="E57" s="224"/>
      <c r="F57" s="224"/>
      <c r="G57" s="298"/>
      <c r="H57" s="112"/>
      <c r="I57" s="619"/>
      <c r="J57" s="263"/>
      <c r="K57" s="261"/>
      <c r="L57" s="112"/>
      <c r="M57" s="619"/>
      <c r="N57" s="263"/>
      <c r="O57" s="261"/>
      <c r="P57" s="112"/>
      <c r="Q57" s="619"/>
      <c r="R57" s="263"/>
      <c r="S57" s="261"/>
      <c r="T57" s="112"/>
      <c r="U57" s="619"/>
      <c r="V57" s="263"/>
      <c r="W57" s="261"/>
      <c r="X57" s="112"/>
      <c r="Y57" s="158">
        <f>SUM(X57,T57,P57,L57,H57)</f>
        <v>0</v>
      </c>
      <c r="Z57" s="206" t="s">
        <v>104</v>
      </c>
      <c r="AA57" s="15"/>
      <c r="AB57" s="15"/>
      <c r="AC57" s="16"/>
      <c r="AD57" s="21"/>
      <c r="AE57" s="18"/>
      <c r="AF57" s="19"/>
    </row>
    <row r="58" spans="1:85" s="27" customFormat="1" ht="13.5" outlineLevel="1" thickBot="1" x14ac:dyDescent="0.25">
      <c r="A58" s="295" t="s">
        <v>105</v>
      </c>
      <c r="B58" s="296"/>
      <c r="C58" s="299"/>
      <c r="D58" s="225"/>
      <c r="E58" s="225"/>
      <c r="F58" s="224"/>
      <c r="G58" s="298"/>
      <c r="H58" s="114"/>
      <c r="I58" s="619"/>
      <c r="J58" s="263"/>
      <c r="K58" s="261"/>
      <c r="L58" s="114"/>
      <c r="M58" s="619"/>
      <c r="N58" s="263"/>
      <c r="O58" s="261"/>
      <c r="P58" s="114"/>
      <c r="Q58" s="619"/>
      <c r="R58" s="263"/>
      <c r="S58" s="261"/>
      <c r="T58" s="114"/>
      <c r="U58" s="619"/>
      <c r="V58" s="263"/>
      <c r="W58" s="261"/>
      <c r="X58" s="114"/>
      <c r="Y58" s="158">
        <f>SUM(X58,T58,P58,L58,H58)</f>
        <v>0</v>
      </c>
      <c r="Z58" s="206" t="s">
        <v>105</v>
      </c>
      <c r="AA58" s="22"/>
      <c r="AB58" s="22"/>
      <c r="AC58" s="23"/>
      <c r="AD58" s="24"/>
      <c r="AE58" s="25"/>
      <c r="AF58" s="26"/>
    </row>
    <row r="59" spans="1:85" s="27" customFormat="1" ht="13.5" outlineLevel="1" thickBot="1" x14ac:dyDescent="0.25">
      <c r="A59" s="300" t="s">
        <v>106</v>
      </c>
      <c r="B59" s="301"/>
      <c r="C59" s="628"/>
      <c r="D59" s="629"/>
      <c r="E59" s="629"/>
      <c r="F59" s="632" t="s">
        <v>107</v>
      </c>
      <c r="G59" s="475">
        <f>IF(H59&gt;=25000,25000,H59)</f>
        <v>0</v>
      </c>
      <c r="H59" s="476">
        <f>ROUND(SUM(H57:H58),0)</f>
        <v>0</v>
      </c>
      <c r="I59" s="648"/>
      <c r="J59" s="632" t="s">
        <v>107</v>
      </c>
      <c r="K59" s="477">
        <f>IF((L59+G59)&gt;=25000,25000-G59,L59)</f>
        <v>0</v>
      </c>
      <c r="L59" s="476">
        <f>ROUND(SUM(L57:L58),0)</f>
        <v>0</v>
      </c>
      <c r="M59" s="648"/>
      <c r="N59" s="632" t="s">
        <v>107</v>
      </c>
      <c r="O59" s="477">
        <f>IF((P59+K59+G59)&gt;=25000,25000-K59-G59,P59)</f>
        <v>0</v>
      </c>
      <c r="P59" s="476">
        <f>ROUND(SUM(P57:P58),0)</f>
        <v>0</v>
      </c>
      <c r="Q59" s="648"/>
      <c r="R59" s="632" t="s">
        <v>107</v>
      </c>
      <c r="S59" s="477">
        <f>IF((T59+O59+K59+G59)&gt;=25000,25000-O59-K59-G59,T59)</f>
        <v>0</v>
      </c>
      <c r="T59" s="476">
        <f>ROUND(SUM(T57:T58),0)</f>
        <v>0</v>
      </c>
      <c r="U59" s="648"/>
      <c r="V59" s="632" t="s">
        <v>107</v>
      </c>
      <c r="W59" s="477">
        <f>IF((X59+S59+O59+K59+G59)&gt;=25000,25000-S59-O59-K59-G59,X59)</f>
        <v>0</v>
      </c>
      <c r="X59" s="476">
        <f>ROUND(SUM(X57:X58),0)</f>
        <v>0</v>
      </c>
      <c r="Y59" s="159">
        <f>SUM(H59,L59,P59,T59,X59)</f>
        <v>0</v>
      </c>
      <c r="Z59" s="202" t="s">
        <v>108</v>
      </c>
      <c r="AA59" s="22"/>
      <c r="AB59" s="22"/>
      <c r="AC59" s="23"/>
      <c r="AD59" s="24"/>
      <c r="AE59" s="25"/>
      <c r="AF59" s="26"/>
    </row>
    <row r="60" spans="1:85" s="34" customFormat="1" outlineLevel="1" x14ac:dyDescent="0.2">
      <c r="A60" s="122" t="s">
        <v>102</v>
      </c>
      <c r="B60" s="225" t="s">
        <v>109</v>
      </c>
      <c r="C60" s="297"/>
      <c r="D60" s="649"/>
      <c r="E60" s="649"/>
      <c r="F60" s="633"/>
      <c r="G60" s="649"/>
      <c r="H60" s="291" t="s">
        <v>37</v>
      </c>
      <c r="I60" s="601"/>
      <c r="J60" s="633"/>
      <c r="K60" s="321"/>
      <c r="L60" s="291" t="s">
        <v>38</v>
      </c>
      <c r="M60" s="601"/>
      <c r="N60" s="633"/>
      <c r="O60" s="321"/>
      <c r="P60" s="291" t="s">
        <v>39</v>
      </c>
      <c r="Q60" s="601"/>
      <c r="R60" s="633"/>
      <c r="S60" s="321"/>
      <c r="T60" s="291" t="s">
        <v>40</v>
      </c>
      <c r="U60" s="601"/>
      <c r="V60" s="633"/>
      <c r="W60" s="321"/>
      <c r="X60" s="291" t="s">
        <v>41</v>
      </c>
      <c r="Y60" s="286"/>
      <c r="Z60" s="214"/>
      <c r="AA60" s="28"/>
      <c r="AB60" s="28"/>
      <c r="AC60" s="29"/>
      <c r="AD60" s="30"/>
      <c r="AE60" s="31"/>
      <c r="AF60" s="32"/>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row>
    <row r="61" spans="1:85" s="33" customFormat="1" outlineLevel="1" x14ac:dyDescent="0.2">
      <c r="A61" s="295" t="s">
        <v>104</v>
      </c>
      <c r="B61" s="303"/>
      <c r="C61" s="299"/>
      <c r="D61" s="224"/>
      <c r="E61" s="224"/>
      <c r="F61" s="634"/>
      <c r="G61" s="298"/>
      <c r="H61" s="112"/>
      <c r="I61" s="619"/>
      <c r="J61" s="634"/>
      <c r="K61" s="261"/>
      <c r="L61" s="112"/>
      <c r="M61" s="619"/>
      <c r="N61" s="634"/>
      <c r="O61" s="261"/>
      <c r="P61" s="112"/>
      <c r="Q61" s="619"/>
      <c r="R61" s="634"/>
      <c r="S61" s="261"/>
      <c r="T61" s="112"/>
      <c r="U61" s="619"/>
      <c r="V61" s="634"/>
      <c r="W61" s="261"/>
      <c r="X61" s="112"/>
      <c r="Y61" s="158">
        <f>SUM(X61,T61,P61,L61,H61)</f>
        <v>0</v>
      </c>
      <c r="Z61" s="200" t="s">
        <v>104</v>
      </c>
      <c r="AA61" s="28"/>
      <c r="AB61" s="28"/>
      <c r="AC61" s="35"/>
      <c r="AD61" s="30"/>
      <c r="AE61" s="31"/>
      <c r="AF61" s="32"/>
    </row>
    <row r="62" spans="1:85" s="33" customFormat="1" ht="13.5" outlineLevel="1" thickBot="1" x14ac:dyDescent="0.25">
      <c r="A62" s="295" t="s">
        <v>105</v>
      </c>
      <c r="B62" s="303"/>
      <c r="C62" s="299"/>
      <c r="D62" s="224"/>
      <c r="E62" s="224"/>
      <c r="F62" s="634"/>
      <c r="G62" s="298"/>
      <c r="H62" s="114"/>
      <c r="I62" s="619"/>
      <c r="J62" s="634"/>
      <c r="K62" s="261"/>
      <c r="L62" s="114"/>
      <c r="M62" s="619"/>
      <c r="N62" s="634"/>
      <c r="O62" s="261"/>
      <c r="P62" s="114"/>
      <c r="Q62" s="619"/>
      <c r="R62" s="634"/>
      <c r="S62" s="261"/>
      <c r="T62" s="114"/>
      <c r="U62" s="619"/>
      <c r="V62" s="634"/>
      <c r="W62" s="261"/>
      <c r="X62" s="114"/>
      <c r="Y62" s="158">
        <f>SUM(X62,T62,P62,L62,H62)</f>
        <v>0</v>
      </c>
      <c r="Z62" s="200" t="s">
        <v>105</v>
      </c>
      <c r="AA62" s="36"/>
      <c r="AB62" s="36"/>
      <c r="AC62" s="62"/>
      <c r="AD62" s="30"/>
      <c r="AE62" s="31"/>
      <c r="AF62" s="32"/>
    </row>
    <row r="63" spans="1:85" s="33" customFormat="1" ht="13.5" outlineLevel="1" thickBot="1" x14ac:dyDescent="0.25">
      <c r="A63" s="300" t="s">
        <v>110</v>
      </c>
      <c r="B63" s="304"/>
      <c r="C63" s="628"/>
      <c r="D63" s="629"/>
      <c r="E63" s="629"/>
      <c r="F63" s="632" t="s">
        <v>107</v>
      </c>
      <c r="G63" s="475">
        <f>IF(H63&gt;=25000,25000,H63)</f>
        <v>0</v>
      </c>
      <c r="H63" s="476">
        <f>ROUND(SUM(H61:H62),0)</f>
        <v>0</v>
      </c>
      <c r="I63" s="648"/>
      <c r="J63" s="632" t="s">
        <v>107</v>
      </c>
      <c r="K63" s="477">
        <f>IF((L63+G63)&gt;=25000,25000-G63,L63)</f>
        <v>0</v>
      </c>
      <c r="L63" s="476">
        <f>ROUND(SUM(L61:L62),0)</f>
        <v>0</v>
      </c>
      <c r="M63" s="648"/>
      <c r="N63" s="632" t="s">
        <v>107</v>
      </c>
      <c r="O63" s="477">
        <f>IF((P63+K63+G63)&gt;=25000,25000-K63-G63,P63)</f>
        <v>0</v>
      </c>
      <c r="P63" s="476">
        <f>ROUND(SUM(P61:P62),0)</f>
        <v>0</v>
      </c>
      <c r="Q63" s="648"/>
      <c r="R63" s="632" t="s">
        <v>107</v>
      </c>
      <c r="S63" s="477">
        <f>IF((T63+O63+K63+G63)&gt;=25000,25000-O63-K63-G63,T63)</f>
        <v>0</v>
      </c>
      <c r="T63" s="476">
        <f>ROUND(SUM(T61:T62),0)</f>
        <v>0</v>
      </c>
      <c r="U63" s="648"/>
      <c r="V63" s="632" t="s">
        <v>107</v>
      </c>
      <c r="W63" s="477">
        <f>IF((X63+S63+O63+K63+G63)&gt;=25000,25000-S63-O63-K63-G63,X63)</f>
        <v>0</v>
      </c>
      <c r="X63" s="476">
        <f>ROUND(SUM(X61:X62),0)</f>
        <v>0</v>
      </c>
      <c r="Y63" s="159">
        <f>SUM(H63,L63,P63,T63,X63)</f>
        <v>0</v>
      </c>
      <c r="Z63" s="202" t="s">
        <v>111</v>
      </c>
      <c r="AA63" s="36"/>
      <c r="AB63" s="36"/>
      <c r="AC63" s="62"/>
      <c r="AD63" s="30"/>
      <c r="AE63" s="31"/>
      <c r="AF63" s="32"/>
    </row>
    <row r="64" spans="1:85" s="33" customFormat="1" outlineLevel="1" x14ac:dyDescent="0.2">
      <c r="A64" s="122" t="s">
        <v>102</v>
      </c>
      <c r="B64" s="225" t="s">
        <v>112</v>
      </c>
      <c r="C64" s="225"/>
      <c r="D64" s="650"/>
      <c r="E64" s="650"/>
      <c r="F64" s="635"/>
      <c r="G64" s="650"/>
      <c r="H64" s="291" t="s">
        <v>37</v>
      </c>
      <c r="I64" s="601"/>
      <c r="J64" s="635"/>
      <c r="K64" s="321"/>
      <c r="L64" s="291" t="s">
        <v>38</v>
      </c>
      <c r="M64" s="601"/>
      <c r="N64" s="635"/>
      <c r="O64" s="321"/>
      <c r="P64" s="291" t="s">
        <v>39</v>
      </c>
      <c r="Q64" s="601"/>
      <c r="R64" s="635"/>
      <c r="S64" s="321"/>
      <c r="T64" s="291" t="s">
        <v>40</v>
      </c>
      <c r="U64" s="601"/>
      <c r="V64" s="635"/>
      <c r="W64" s="321"/>
      <c r="X64" s="291" t="s">
        <v>41</v>
      </c>
      <c r="Y64" s="286"/>
      <c r="Z64" s="202"/>
      <c r="AA64" s="36"/>
      <c r="AB64" s="36"/>
      <c r="AC64" s="62"/>
      <c r="AD64" s="30"/>
      <c r="AE64" s="31"/>
      <c r="AF64" s="32"/>
    </row>
    <row r="65" spans="1:85" s="33" customFormat="1" outlineLevel="1" x14ac:dyDescent="0.2">
      <c r="A65" s="295" t="s">
        <v>104</v>
      </c>
      <c r="B65" s="306"/>
      <c r="C65" s="299"/>
      <c r="D65" s="224"/>
      <c r="E65" s="224"/>
      <c r="F65" s="634"/>
      <c r="G65" s="298"/>
      <c r="H65" s="112"/>
      <c r="I65" s="619"/>
      <c r="J65" s="634"/>
      <c r="K65" s="261"/>
      <c r="L65" s="112"/>
      <c r="M65" s="619"/>
      <c r="N65" s="634"/>
      <c r="O65" s="261"/>
      <c r="P65" s="112"/>
      <c r="Q65" s="619"/>
      <c r="R65" s="634"/>
      <c r="S65" s="261"/>
      <c r="T65" s="112"/>
      <c r="U65" s="619"/>
      <c r="V65" s="634"/>
      <c r="W65" s="261"/>
      <c r="X65" s="112"/>
      <c r="Y65" s="158">
        <f>SUM(X65,T65,P65,L65,H65)</f>
        <v>0</v>
      </c>
      <c r="Z65" s="215" t="s">
        <v>104</v>
      </c>
      <c r="AA65" s="36"/>
      <c r="AB65" s="36"/>
      <c r="AC65" s="62"/>
      <c r="AD65" s="30"/>
      <c r="AE65" s="31"/>
      <c r="AF65" s="32"/>
    </row>
    <row r="66" spans="1:85" s="33" customFormat="1" ht="13.5" outlineLevel="1" thickBot="1" x14ac:dyDescent="0.25">
      <c r="A66" s="295" t="s">
        <v>105</v>
      </c>
      <c r="B66" s="306"/>
      <c r="C66" s="651"/>
      <c r="D66" s="651"/>
      <c r="E66" s="651"/>
      <c r="F66" s="652"/>
      <c r="G66" s="651"/>
      <c r="H66" s="114"/>
      <c r="I66" s="619"/>
      <c r="J66" s="652"/>
      <c r="K66" s="261"/>
      <c r="L66" s="114"/>
      <c r="M66" s="619"/>
      <c r="N66" s="652"/>
      <c r="O66" s="261"/>
      <c r="P66" s="114"/>
      <c r="Q66" s="619"/>
      <c r="R66" s="652"/>
      <c r="S66" s="261"/>
      <c r="T66" s="114"/>
      <c r="U66" s="619"/>
      <c r="V66" s="652"/>
      <c r="W66" s="261"/>
      <c r="X66" s="114"/>
      <c r="Y66" s="158">
        <f>SUM(X66,T66,P66,L66,H66)</f>
        <v>0</v>
      </c>
      <c r="Z66" s="215" t="s">
        <v>105</v>
      </c>
      <c r="AA66" s="36"/>
      <c r="AB66" s="36"/>
      <c r="AC66" s="62"/>
      <c r="AD66" s="30"/>
      <c r="AE66" s="31"/>
      <c r="AF66" s="32"/>
    </row>
    <row r="67" spans="1:85" s="33" customFormat="1" ht="13.5" outlineLevel="1" thickBot="1" x14ac:dyDescent="0.25">
      <c r="A67" s="300" t="s">
        <v>113</v>
      </c>
      <c r="B67" s="307"/>
      <c r="C67" s="628"/>
      <c r="D67" s="629"/>
      <c r="E67" s="629"/>
      <c r="F67" s="632" t="s">
        <v>107</v>
      </c>
      <c r="G67" s="475">
        <f>IF(H67&gt;=25000,25000,H67)</f>
        <v>0</v>
      </c>
      <c r="H67" s="476">
        <f>ROUND(SUM(H65:H66),0)</f>
        <v>0</v>
      </c>
      <c r="I67" s="648"/>
      <c r="J67" s="632" t="s">
        <v>107</v>
      </c>
      <c r="K67" s="477">
        <f>IF((L67+G67)&gt;=25000,25000-G67,L67)</f>
        <v>0</v>
      </c>
      <c r="L67" s="476">
        <f>ROUND(SUM(L65:L66),0)</f>
        <v>0</v>
      </c>
      <c r="M67" s="648"/>
      <c r="N67" s="632" t="s">
        <v>107</v>
      </c>
      <c r="O67" s="477">
        <f>IF((P67+K67+G67)&gt;=25000,25000-K67-G67,P67)</f>
        <v>0</v>
      </c>
      <c r="P67" s="454">
        <f>ROUND(SUM(P65:P66),0)</f>
        <v>0</v>
      </c>
      <c r="Q67" s="648"/>
      <c r="R67" s="632" t="s">
        <v>107</v>
      </c>
      <c r="S67" s="477">
        <f>IF((T67+O67+K67+G67)&gt;=25000,25000-O67-K67-G67,T67)</f>
        <v>0</v>
      </c>
      <c r="T67" s="454">
        <f>ROUND(SUM(T65:T66),0)</f>
        <v>0</v>
      </c>
      <c r="U67" s="648"/>
      <c r="V67" s="632" t="s">
        <v>107</v>
      </c>
      <c r="W67" s="477">
        <f>IF((X67+S67+O67+K67+G67)&gt;=25000,25000-S67-O67-K67-G67,X67)</f>
        <v>0</v>
      </c>
      <c r="X67" s="454">
        <f>ROUND(SUM(X65:X66),0)</f>
        <v>0</v>
      </c>
      <c r="Y67" s="159">
        <f>SUM(H67,L67,P67,T67,X67)</f>
        <v>0</v>
      </c>
      <c r="Z67" s="202" t="s">
        <v>114</v>
      </c>
      <c r="AA67" s="36"/>
      <c r="AB67" s="36"/>
      <c r="AC67" s="62"/>
      <c r="AD67" s="30"/>
      <c r="AE67" s="31"/>
      <c r="AF67" s="32"/>
    </row>
    <row r="68" spans="1:85" s="33" customFormat="1" outlineLevel="1" x14ac:dyDescent="0.2">
      <c r="A68" s="122" t="s">
        <v>102</v>
      </c>
      <c r="B68" s="225" t="s">
        <v>115</v>
      </c>
      <c r="C68" s="225"/>
      <c r="D68" s="650"/>
      <c r="E68" s="650"/>
      <c r="F68" s="635"/>
      <c r="G68" s="650"/>
      <c r="H68" s="291" t="s">
        <v>37</v>
      </c>
      <c r="I68" s="601"/>
      <c r="J68" s="635"/>
      <c r="K68" s="321"/>
      <c r="L68" s="291" t="s">
        <v>38</v>
      </c>
      <c r="M68" s="601"/>
      <c r="N68" s="635"/>
      <c r="O68" s="321"/>
      <c r="P68" s="291" t="s">
        <v>39</v>
      </c>
      <c r="Q68" s="601"/>
      <c r="R68" s="635"/>
      <c r="S68" s="321"/>
      <c r="T68" s="291" t="s">
        <v>40</v>
      </c>
      <c r="U68" s="601"/>
      <c r="V68" s="635"/>
      <c r="W68" s="321"/>
      <c r="X68" s="291" t="s">
        <v>41</v>
      </c>
      <c r="Y68" s="286"/>
      <c r="Z68" s="202"/>
      <c r="AA68" s="36"/>
      <c r="AB68" s="36"/>
      <c r="AC68" s="62"/>
      <c r="AD68" s="30"/>
      <c r="AE68" s="31"/>
      <c r="AF68" s="32"/>
    </row>
    <row r="69" spans="1:85" s="33" customFormat="1" outlineLevel="1" x14ac:dyDescent="0.2">
      <c r="A69" s="295" t="s">
        <v>104</v>
      </c>
      <c r="B69" s="306"/>
      <c r="C69" s="299"/>
      <c r="D69" s="224"/>
      <c r="E69" s="224"/>
      <c r="F69" s="634"/>
      <c r="G69" s="298"/>
      <c r="H69" s="112"/>
      <c r="I69" s="619"/>
      <c r="J69" s="634"/>
      <c r="K69" s="261"/>
      <c r="L69" s="112"/>
      <c r="M69" s="619"/>
      <c r="N69" s="634"/>
      <c r="O69" s="261"/>
      <c r="P69" s="112"/>
      <c r="Q69" s="619"/>
      <c r="R69" s="634"/>
      <c r="S69" s="261"/>
      <c r="T69" s="112"/>
      <c r="U69" s="619"/>
      <c r="V69" s="634"/>
      <c r="W69" s="261"/>
      <c r="X69" s="112"/>
      <c r="Y69" s="158">
        <f>SUM(X69,T69,P69,L69,H69)</f>
        <v>0</v>
      </c>
      <c r="Z69" s="215" t="s">
        <v>104</v>
      </c>
      <c r="AA69" s="36"/>
      <c r="AB69" s="36"/>
      <c r="AC69" s="62"/>
      <c r="AD69" s="30"/>
      <c r="AE69" s="31"/>
      <c r="AF69" s="32"/>
    </row>
    <row r="70" spans="1:85" s="33" customFormat="1" ht="13.5" outlineLevel="1" thickBot="1" x14ac:dyDescent="0.25">
      <c r="A70" s="295" t="s">
        <v>105</v>
      </c>
      <c r="B70" s="306"/>
      <c r="C70" s="651"/>
      <c r="D70" s="651"/>
      <c r="E70" s="651"/>
      <c r="F70" s="652"/>
      <c r="G70" s="651"/>
      <c r="H70" s="114"/>
      <c r="I70" s="619"/>
      <c r="J70" s="652"/>
      <c r="K70" s="261"/>
      <c r="L70" s="114"/>
      <c r="M70" s="619"/>
      <c r="N70" s="652"/>
      <c r="O70" s="261"/>
      <c r="P70" s="114"/>
      <c r="Q70" s="619"/>
      <c r="R70" s="652"/>
      <c r="S70" s="261"/>
      <c r="T70" s="114"/>
      <c r="U70" s="619"/>
      <c r="V70" s="652"/>
      <c r="W70" s="261"/>
      <c r="X70" s="114"/>
      <c r="Y70" s="158">
        <f>SUM(X70,T70,P70,L70,H70)</f>
        <v>0</v>
      </c>
      <c r="Z70" s="215" t="s">
        <v>105</v>
      </c>
      <c r="AA70" s="36"/>
      <c r="AB70" s="36"/>
      <c r="AC70" s="62"/>
      <c r="AD70" s="30"/>
      <c r="AE70" s="31"/>
      <c r="AF70" s="32"/>
    </row>
    <row r="71" spans="1:85" s="33" customFormat="1" ht="13.5" outlineLevel="1" thickBot="1" x14ac:dyDescent="0.25">
      <c r="A71" s="300" t="s">
        <v>116</v>
      </c>
      <c r="B71" s="307"/>
      <c r="C71" s="628"/>
      <c r="D71" s="629"/>
      <c r="E71" s="629"/>
      <c r="F71" s="632" t="s">
        <v>107</v>
      </c>
      <c r="G71" s="475">
        <f>IF(H71&gt;=25000,25000,H71)</f>
        <v>0</v>
      </c>
      <c r="H71" s="476">
        <f>ROUND(SUM(H69:H70),0)</f>
        <v>0</v>
      </c>
      <c r="I71" s="648"/>
      <c r="J71" s="632" t="s">
        <v>107</v>
      </c>
      <c r="K71" s="477">
        <f>IF((L71+G71)&gt;=25000,25000-G71,L71)</f>
        <v>0</v>
      </c>
      <c r="L71" s="476">
        <f>ROUND(SUM(L69:L70),0)</f>
        <v>0</v>
      </c>
      <c r="M71" s="648"/>
      <c r="N71" s="632" t="s">
        <v>107</v>
      </c>
      <c r="O71" s="477">
        <f>IF((P71+K71+G71)&gt;=25000,25000-K71-G71,P71)</f>
        <v>0</v>
      </c>
      <c r="P71" s="454">
        <f>ROUND(SUM(P69:P70),0)</f>
        <v>0</v>
      </c>
      <c r="Q71" s="648"/>
      <c r="R71" s="632" t="s">
        <v>107</v>
      </c>
      <c r="S71" s="477">
        <f>IF((T71+O71+K71+G71)&gt;=25000,25000-O71-K71-G71,T71)</f>
        <v>0</v>
      </c>
      <c r="T71" s="454">
        <f>ROUND(SUM(T69:T70),0)</f>
        <v>0</v>
      </c>
      <c r="U71" s="648"/>
      <c r="V71" s="632" t="s">
        <v>107</v>
      </c>
      <c r="W71" s="477">
        <f>IF((X71+S71+O71+K71+G71)&gt;=25000,25000-S71-O71-K71-G71,X71)</f>
        <v>0</v>
      </c>
      <c r="X71" s="454">
        <f>ROUND(SUM(X69:X70),0)</f>
        <v>0</v>
      </c>
      <c r="Y71" s="159">
        <f>SUM(H71,L71,P71,T71,X71)</f>
        <v>0</v>
      </c>
      <c r="Z71" s="202" t="s">
        <v>117</v>
      </c>
      <c r="AA71" s="36"/>
      <c r="AB71" s="36"/>
      <c r="AC71" s="62"/>
      <c r="AD71" s="30"/>
      <c r="AE71" s="31"/>
      <c r="AF71" s="32"/>
    </row>
    <row r="72" spans="1:85" s="57" customFormat="1" ht="15" customHeight="1" outlineLevel="1" x14ac:dyDescent="0.2">
      <c r="A72" s="122" t="s">
        <v>102</v>
      </c>
      <c r="B72" s="225" t="s">
        <v>174</v>
      </c>
      <c r="C72" s="225"/>
      <c r="D72" s="650"/>
      <c r="E72" s="650"/>
      <c r="F72" s="635"/>
      <c r="G72" s="650"/>
      <c r="H72" s="291" t="s">
        <v>37</v>
      </c>
      <c r="I72" s="601"/>
      <c r="J72" s="635"/>
      <c r="K72" s="321"/>
      <c r="L72" s="291" t="s">
        <v>38</v>
      </c>
      <c r="M72" s="601"/>
      <c r="N72" s="635"/>
      <c r="O72" s="321"/>
      <c r="P72" s="291" t="s">
        <v>39</v>
      </c>
      <c r="Q72" s="601"/>
      <c r="R72" s="635"/>
      <c r="S72" s="321"/>
      <c r="T72" s="291" t="s">
        <v>40</v>
      </c>
      <c r="U72" s="601"/>
      <c r="V72" s="635"/>
      <c r="W72" s="321"/>
      <c r="X72" s="291" t="s">
        <v>41</v>
      </c>
      <c r="Y72" s="286"/>
      <c r="Z72" s="216"/>
      <c r="AA72" s="46"/>
      <c r="AB72" s="46"/>
      <c r="AC72" s="46"/>
      <c r="AD72" s="56"/>
      <c r="AE72" s="43"/>
      <c r="AF72" s="44"/>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row>
    <row r="73" spans="1:85" s="42" customFormat="1" outlineLevel="1" x14ac:dyDescent="0.2">
      <c r="A73" s="295" t="s">
        <v>104</v>
      </c>
      <c r="B73" s="306"/>
      <c r="C73" s="299"/>
      <c r="D73" s="224"/>
      <c r="E73" s="224"/>
      <c r="F73" s="634"/>
      <c r="G73" s="298"/>
      <c r="H73" s="112"/>
      <c r="I73" s="619"/>
      <c r="J73" s="634"/>
      <c r="K73" s="261"/>
      <c r="L73" s="112"/>
      <c r="M73" s="619"/>
      <c r="N73" s="634"/>
      <c r="O73" s="261"/>
      <c r="P73" s="112"/>
      <c r="Q73" s="619"/>
      <c r="R73" s="634"/>
      <c r="S73" s="261"/>
      <c r="T73" s="112"/>
      <c r="U73" s="619"/>
      <c r="V73" s="634"/>
      <c r="W73" s="261"/>
      <c r="X73" s="112"/>
      <c r="Y73" s="158">
        <f>SUM(X73,T73,P73,L73,H73)</f>
        <v>0</v>
      </c>
      <c r="Z73" s="215" t="s">
        <v>104</v>
      </c>
      <c r="AA73" s="41"/>
      <c r="AD73" s="41"/>
      <c r="AE73" s="43"/>
      <c r="AF73" s="44"/>
    </row>
    <row r="74" spans="1:85" s="39" customFormat="1" ht="13.5" outlineLevel="1" thickBot="1" x14ac:dyDescent="0.25">
      <c r="A74" s="295" t="s">
        <v>105</v>
      </c>
      <c r="B74" s="306"/>
      <c r="C74" s="299"/>
      <c r="D74" s="225"/>
      <c r="E74" s="225"/>
      <c r="F74" s="634"/>
      <c r="G74" s="298"/>
      <c r="H74" s="114"/>
      <c r="I74" s="619"/>
      <c r="J74" s="634"/>
      <c r="K74" s="261"/>
      <c r="L74" s="114"/>
      <c r="M74" s="619"/>
      <c r="N74" s="634"/>
      <c r="O74" s="261"/>
      <c r="P74" s="114"/>
      <c r="Q74" s="619"/>
      <c r="R74" s="634"/>
      <c r="S74" s="261"/>
      <c r="T74" s="114"/>
      <c r="U74" s="619"/>
      <c r="V74" s="634"/>
      <c r="W74" s="261"/>
      <c r="X74" s="114"/>
      <c r="Y74" s="158">
        <f>SUM(X74,T74,P74,L74,H74)</f>
        <v>0</v>
      </c>
      <c r="Z74" s="215" t="s">
        <v>105</v>
      </c>
      <c r="AA74" s="45"/>
      <c r="AB74" s="45"/>
      <c r="AC74" s="46"/>
      <c r="AD74" s="47"/>
      <c r="AE74" s="37"/>
      <c r="AF74" s="38"/>
    </row>
    <row r="75" spans="1:85" s="40" customFormat="1" ht="13.5" outlineLevel="1" thickBot="1" x14ac:dyDescent="0.25">
      <c r="A75" s="308" t="s">
        <v>175</v>
      </c>
      <c r="B75" s="309"/>
      <c r="C75" s="630"/>
      <c r="D75" s="631"/>
      <c r="E75" s="631"/>
      <c r="F75" s="636" t="s">
        <v>107</v>
      </c>
      <c r="G75" s="478">
        <f>IF(H75&gt;=25000,25000,H75)</f>
        <v>0</v>
      </c>
      <c r="H75" s="479">
        <f>ROUND(SUM(H73:H74),0)</f>
        <v>0</v>
      </c>
      <c r="I75" s="653"/>
      <c r="J75" s="636" t="s">
        <v>107</v>
      </c>
      <c r="K75" s="480">
        <f>IF((L75+G75)&gt;=25000,25000-G75,L75)</f>
        <v>0</v>
      </c>
      <c r="L75" s="479">
        <f>ROUND(SUM(L73:L74),0)</f>
        <v>0</v>
      </c>
      <c r="M75" s="653"/>
      <c r="N75" s="636" t="s">
        <v>107</v>
      </c>
      <c r="O75" s="480">
        <f>IF((P75+K75+G75)&gt;=25000,25000-K75-G75,P75)</f>
        <v>0</v>
      </c>
      <c r="P75" s="479">
        <f>ROUND(SUM(P73:P74),0)</f>
        <v>0</v>
      </c>
      <c r="Q75" s="653"/>
      <c r="R75" s="636" t="s">
        <v>107</v>
      </c>
      <c r="S75" s="480">
        <f>IF((T75+O75+K75+G75)&gt;=25000,25000-O75-K75-G75,T75)</f>
        <v>0</v>
      </c>
      <c r="T75" s="479">
        <f>ROUND(SUM(T73:T74),0)</f>
        <v>0</v>
      </c>
      <c r="U75" s="653"/>
      <c r="V75" s="636" t="s">
        <v>107</v>
      </c>
      <c r="W75" s="480">
        <f>IF((X75+S75+O75+K75+G75)&gt;=25000,25000-S75-O75-K75-G75,X75)</f>
        <v>0</v>
      </c>
      <c r="X75" s="479">
        <f>ROUND(SUM(X73:X74),0)</f>
        <v>0</v>
      </c>
      <c r="Y75" s="160">
        <f>SUM(H75,L75,P75,T75,X75)</f>
        <v>0</v>
      </c>
      <c r="Z75" s="202" t="s">
        <v>176</v>
      </c>
      <c r="AA75" s="45"/>
      <c r="AB75" s="45"/>
      <c r="AC75" s="46"/>
      <c r="AD75" s="47"/>
      <c r="AE75" s="37"/>
      <c r="AF75" s="38"/>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row>
    <row r="76" spans="1:85" s="39" customFormat="1" ht="13.5" thickTop="1" x14ac:dyDescent="0.2">
      <c r="A76" s="161" t="s">
        <v>47</v>
      </c>
      <c r="B76" s="144"/>
      <c r="C76" s="711"/>
      <c r="D76" s="712"/>
      <c r="E76" s="712"/>
      <c r="F76" s="712"/>
      <c r="G76" s="712"/>
      <c r="H76" s="162" t="s">
        <v>37</v>
      </c>
      <c r="I76" s="162"/>
      <c r="J76" s="754"/>
      <c r="K76" s="755"/>
      <c r="L76" s="162" t="s">
        <v>38</v>
      </c>
      <c r="M76" s="162"/>
      <c r="N76" s="754"/>
      <c r="O76" s="755"/>
      <c r="P76" s="162" t="s">
        <v>39</v>
      </c>
      <c r="Q76" s="162"/>
      <c r="R76" s="754"/>
      <c r="S76" s="755"/>
      <c r="T76" s="162" t="s">
        <v>40</v>
      </c>
      <c r="U76" s="162"/>
      <c r="V76" s="714"/>
      <c r="W76" s="756"/>
      <c r="X76" s="163" t="s">
        <v>41</v>
      </c>
      <c r="Y76" s="164" t="s">
        <v>118</v>
      </c>
      <c r="Z76" s="217"/>
      <c r="AA76" s="45"/>
      <c r="AB76" s="45"/>
      <c r="AC76" s="46"/>
      <c r="AD76" s="47"/>
      <c r="AE76" s="37"/>
      <c r="AF76" s="38"/>
    </row>
    <row r="77" spans="1:85" x14ac:dyDescent="0.2">
      <c r="A77" s="683" t="s">
        <v>121</v>
      </c>
      <c r="B77" s="684"/>
      <c r="C77" s="684"/>
      <c r="D77" s="684"/>
      <c r="E77" s="684"/>
      <c r="F77" s="684"/>
      <c r="G77" s="685"/>
      <c r="H77" s="165">
        <f>SUM(H75,H67,H63,H59,H54,H42,H35,H32,H29,H71)</f>
        <v>0</v>
      </c>
      <c r="I77" s="605"/>
      <c r="J77" s="678" t="s">
        <v>120</v>
      </c>
      <c r="K77" s="679"/>
      <c r="L77" s="165">
        <f>SUM(L75,L67,L63,L59,L54,L42,L35,L32,L29,L71)</f>
        <v>0</v>
      </c>
      <c r="M77" s="605"/>
      <c r="N77" s="678" t="s">
        <v>120</v>
      </c>
      <c r="O77" s="679"/>
      <c r="P77" s="165">
        <f>SUM(P75,P67,P63,P59,P54,P42,P35,P32,P29,P71)</f>
        <v>0</v>
      </c>
      <c r="Q77" s="605"/>
      <c r="R77" s="678" t="s">
        <v>120</v>
      </c>
      <c r="S77" s="679"/>
      <c r="T77" s="165">
        <f>SUM(T75,T67,T63,T59,T54,T42,T35,T32,T29,T71)</f>
        <v>0</v>
      </c>
      <c r="U77" s="605"/>
      <c r="V77" s="678" t="s">
        <v>120</v>
      </c>
      <c r="W77" s="679"/>
      <c r="X77" s="165">
        <f>SUM(X75,X67,X63,X59,X54,X42,X35,X32,X29,X71)</f>
        <v>0</v>
      </c>
      <c r="Y77" s="166">
        <f>H77+L77+P77+T77+X77</f>
        <v>0</v>
      </c>
      <c r="Z77" s="218" t="s">
        <v>121</v>
      </c>
      <c r="AA77" s="3"/>
      <c r="AB77" s="3"/>
      <c r="AC77" s="14"/>
    </row>
    <row r="78" spans="1:85" x14ac:dyDescent="0.2">
      <c r="A78" s="683" t="s">
        <v>122</v>
      </c>
      <c r="B78" s="684"/>
      <c r="C78" s="684"/>
      <c r="D78" s="684"/>
      <c r="E78" s="684"/>
      <c r="F78" s="684"/>
      <c r="G78" s="685"/>
      <c r="H78" s="167">
        <f>H77-H58-H62-H66-H70-H74</f>
        <v>0</v>
      </c>
      <c r="I78" s="605"/>
      <c r="J78" s="678" t="s">
        <v>123</v>
      </c>
      <c r="K78" s="679"/>
      <c r="L78" s="167">
        <f>L77-L58-L62-L66-L70-L74</f>
        <v>0</v>
      </c>
      <c r="M78" s="605"/>
      <c r="N78" s="678" t="s">
        <v>123</v>
      </c>
      <c r="O78" s="679"/>
      <c r="P78" s="167">
        <f>P77-P58-P62-P66-P70-P74</f>
        <v>0</v>
      </c>
      <c r="Q78" s="605"/>
      <c r="R78" s="678" t="s">
        <v>123</v>
      </c>
      <c r="S78" s="679"/>
      <c r="T78" s="167">
        <f>T77-T58-T62-T66-T70-T74</f>
        <v>0</v>
      </c>
      <c r="U78" s="605"/>
      <c r="V78" s="678" t="s">
        <v>123</v>
      </c>
      <c r="W78" s="679"/>
      <c r="X78" s="167">
        <f>X77-X58-X62-X66-X70-X74</f>
        <v>0</v>
      </c>
      <c r="Y78" s="166">
        <f>H78+L78+P78+T78+X78</f>
        <v>0</v>
      </c>
      <c r="Z78" s="218" t="s">
        <v>124</v>
      </c>
      <c r="AA78" s="3"/>
      <c r="AB78" s="3"/>
      <c r="AC78" s="14"/>
    </row>
    <row r="79" spans="1:85" x14ac:dyDescent="0.2">
      <c r="A79" s="683" t="s">
        <v>125</v>
      </c>
      <c r="B79" s="684"/>
      <c r="C79" s="684"/>
      <c r="D79" s="684"/>
      <c r="E79" s="684"/>
      <c r="F79" s="684"/>
      <c r="G79" s="685"/>
      <c r="H79" s="167">
        <f>SUM(G75,G67,G63,G59,G71,H54,H35,H29)-SUM(H47:H48)</f>
        <v>0</v>
      </c>
      <c r="I79" s="605"/>
      <c r="J79" s="678" t="s">
        <v>126</v>
      </c>
      <c r="K79" s="679"/>
      <c r="L79" s="167">
        <f>SUM(K75,K67,K63,K59,K71,L54,L35,L29)-SUM(L47:L48)</f>
        <v>0</v>
      </c>
      <c r="M79" s="605"/>
      <c r="N79" s="678" t="s">
        <v>126</v>
      </c>
      <c r="O79" s="679"/>
      <c r="P79" s="167">
        <f>SUM(O75,O67,O63,O59,O71,P54,P35,P29)-SUM(P47:P48)</f>
        <v>0</v>
      </c>
      <c r="Q79" s="605"/>
      <c r="R79" s="678" t="s">
        <v>126</v>
      </c>
      <c r="S79" s="679"/>
      <c r="T79" s="167">
        <f>SUM(S75,S67,S63,S59,S71,T54,T35,T29)-SUM(T47:T48)</f>
        <v>0</v>
      </c>
      <c r="U79" s="605"/>
      <c r="V79" s="678" t="s">
        <v>126</v>
      </c>
      <c r="W79" s="679"/>
      <c r="X79" s="167">
        <f>SUM(W75,W67,W63,W59,W71,X54,X35,X29)-SUM(X47:X48)</f>
        <v>0</v>
      </c>
      <c r="Y79" s="166">
        <f>H79+L79+P79+T79+X79</f>
        <v>0</v>
      </c>
      <c r="Z79" s="218" t="s">
        <v>125</v>
      </c>
      <c r="AA79" s="3"/>
      <c r="AB79" s="3"/>
      <c r="AC79" s="14"/>
    </row>
    <row r="80" spans="1:85" ht="13.5" thickBot="1" x14ac:dyDescent="0.25">
      <c r="A80" s="686" t="s">
        <v>129</v>
      </c>
      <c r="B80" s="687"/>
      <c r="C80" s="687"/>
      <c r="D80" s="687"/>
      <c r="E80" s="687"/>
      <c r="F80" s="687"/>
      <c r="G80" s="688"/>
      <c r="H80" s="168">
        <f>ROUND(H79*$L$9,0)</f>
        <v>0</v>
      </c>
      <c r="I80" s="606"/>
      <c r="J80" s="678" t="s">
        <v>128</v>
      </c>
      <c r="K80" s="679"/>
      <c r="L80" s="168">
        <f>ROUND(L79*$L$9,0)</f>
        <v>0</v>
      </c>
      <c r="M80" s="606"/>
      <c r="N80" s="678" t="s">
        <v>128</v>
      </c>
      <c r="O80" s="679"/>
      <c r="P80" s="168">
        <f>ROUND(P79*$L$9,0)</f>
        <v>0</v>
      </c>
      <c r="Q80" s="606"/>
      <c r="R80" s="678" t="s">
        <v>128</v>
      </c>
      <c r="S80" s="679"/>
      <c r="T80" s="168">
        <f>ROUND(T79*$L$9,0)</f>
        <v>0</v>
      </c>
      <c r="U80" s="606"/>
      <c r="V80" s="678" t="s">
        <v>128</v>
      </c>
      <c r="W80" s="679"/>
      <c r="X80" s="168">
        <f>ROUND(X79*$L$9,0)</f>
        <v>0</v>
      </c>
      <c r="Y80" s="166">
        <f>H80+L80+P80+T80+X80</f>
        <v>0</v>
      </c>
      <c r="Z80" s="218" t="s">
        <v>129</v>
      </c>
      <c r="AA80" s="3"/>
      <c r="AB80" s="3"/>
      <c r="AC80" s="14"/>
    </row>
    <row r="81" spans="1:31" s="10" customFormat="1" ht="13.5" thickBot="1" x14ac:dyDescent="0.25">
      <c r="A81" s="680" t="s">
        <v>130</v>
      </c>
      <c r="B81" s="681"/>
      <c r="C81" s="681"/>
      <c r="D81" s="681"/>
      <c r="E81" s="681"/>
      <c r="F81" s="681"/>
      <c r="G81" s="682"/>
      <c r="H81" s="159">
        <f>H77+H80</f>
        <v>0</v>
      </c>
      <c r="I81" s="607"/>
      <c r="J81" s="676" t="s">
        <v>130</v>
      </c>
      <c r="K81" s="677"/>
      <c r="L81" s="159">
        <f>L77+L80</f>
        <v>0</v>
      </c>
      <c r="M81" s="607"/>
      <c r="N81" s="676" t="s">
        <v>130</v>
      </c>
      <c r="O81" s="677"/>
      <c r="P81" s="159">
        <f>P77+P80</f>
        <v>0</v>
      </c>
      <c r="Q81" s="607"/>
      <c r="R81" s="676" t="s">
        <v>130</v>
      </c>
      <c r="S81" s="677"/>
      <c r="T81" s="159">
        <f>T77+T80</f>
        <v>0</v>
      </c>
      <c r="U81" s="607"/>
      <c r="V81" s="676" t="s">
        <v>130</v>
      </c>
      <c r="W81" s="677"/>
      <c r="X81" s="159">
        <f>X77+X80</f>
        <v>0</v>
      </c>
      <c r="Y81" s="169">
        <f>H81+L81+P81+T81+X81</f>
        <v>0</v>
      </c>
      <c r="Z81" s="219" t="s">
        <v>130</v>
      </c>
      <c r="AC81" s="48"/>
      <c r="AD81" s="9"/>
    </row>
    <row r="82" spans="1:31" s="10" customFormat="1" ht="13.5" thickBot="1" x14ac:dyDescent="0.25">
      <c r="A82" s="334"/>
      <c r="B82" s="334"/>
      <c r="C82" s="334"/>
      <c r="D82" s="334"/>
      <c r="E82" s="334"/>
      <c r="F82" s="334"/>
      <c r="G82" s="334"/>
      <c r="H82" s="335"/>
      <c r="I82" s="335"/>
      <c r="J82" s="370"/>
      <c r="K82" s="370"/>
      <c r="L82" s="335"/>
      <c r="M82" s="335"/>
      <c r="N82" s="370"/>
      <c r="O82" s="370"/>
      <c r="P82" s="335"/>
      <c r="Q82" s="335"/>
      <c r="R82" s="370"/>
      <c r="S82" s="370"/>
      <c r="T82" s="335"/>
      <c r="U82" s="335"/>
      <c r="V82" s="370"/>
      <c r="W82" s="370"/>
      <c r="X82" s="335"/>
      <c r="Y82" s="65"/>
      <c r="Z82" s="65"/>
      <c r="AC82" s="48"/>
      <c r="AD82" s="9"/>
    </row>
    <row r="83" spans="1:31" s="10" customFormat="1" x14ac:dyDescent="0.2">
      <c r="A83" s="574" t="s">
        <v>140</v>
      </c>
      <c r="B83" s="481"/>
      <c r="C83" s="481"/>
      <c r="D83" s="481"/>
      <c r="E83" s="481"/>
      <c r="F83" s="481"/>
      <c r="G83" s="481"/>
      <c r="H83" s="482" t="s">
        <v>37</v>
      </c>
      <c r="I83" s="482"/>
      <c r="J83" s="482"/>
      <c r="K83" s="482"/>
      <c r="L83" s="482" t="s">
        <v>38</v>
      </c>
      <c r="M83" s="482"/>
      <c r="N83" s="482"/>
      <c r="O83" s="482"/>
      <c r="P83" s="482" t="s">
        <v>39</v>
      </c>
      <c r="Q83" s="482"/>
      <c r="R83" s="482"/>
      <c r="S83" s="482"/>
      <c r="T83" s="482" t="s">
        <v>40</v>
      </c>
      <c r="U83" s="482"/>
      <c r="V83" s="482"/>
      <c r="W83" s="482"/>
      <c r="X83" s="482" t="s">
        <v>41</v>
      </c>
      <c r="Y83" s="482" t="s">
        <v>141</v>
      </c>
      <c r="Z83" s="483"/>
      <c r="AC83" s="48"/>
      <c r="AD83" s="9"/>
    </row>
    <row r="84" spans="1:31" x14ac:dyDescent="0.2">
      <c r="A84" s="484"/>
      <c r="B84" s="485"/>
      <c r="C84" s="485"/>
      <c r="D84" s="485"/>
      <c r="E84" s="485"/>
      <c r="F84" s="485"/>
      <c r="G84" s="486" t="s">
        <v>142</v>
      </c>
      <c r="H84" s="511">
        <f>H90*25000</f>
        <v>0</v>
      </c>
      <c r="I84" s="487"/>
      <c r="J84" s="465"/>
      <c r="K84" s="488" t="s">
        <v>143</v>
      </c>
      <c r="L84" s="511">
        <f>L90*25000</f>
        <v>0</v>
      </c>
      <c r="M84" s="487"/>
      <c r="N84" s="487"/>
      <c r="O84" s="488" t="s">
        <v>143</v>
      </c>
      <c r="P84" s="511">
        <f>P90*25000</f>
        <v>0</v>
      </c>
      <c r="Q84" s="487"/>
      <c r="R84" s="487"/>
      <c r="S84" s="488" t="s">
        <v>143</v>
      </c>
      <c r="T84" s="511">
        <f>T90*25000</f>
        <v>0</v>
      </c>
      <c r="U84" s="487"/>
      <c r="V84" s="487"/>
      <c r="W84" s="488" t="s">
        <v>143</v>
      </c>
      <c r="X84" s="511">
        <f>X90*25000</f>
        <v>0</v>
      </c>
      <c r="Y84" s="489">
        <f>SUM(H84,L84,P84,T84,X84)</f>
        <v>0</v>
      </c>
      <c r="Z84" s="490" t="s">
        <v>142</v>
      </c>
      <c r="AB84" s="7"/>
      <c r="AC84" s="7"/>
      <c r="AD84" s="7"/>
      <c r="AE84" s="7"/>
    </row>
    <row r="85" spans="1:31" x14ac:dyDescent="0.2">
      <c r="A85" s="484"/>
      <c r="B85" s="485"/>
      <c r="C85" s="485"/>
      <c r="D85" s="485"/>
      <c r="E85" s="485"/>
      <c r="F85" s="485"/>
      <c r="G85" s="486" t="s">
        <v>144</v>
      </c>
      <c r="H85" s="512">
        <f>SUM(H58,H62,H66,H74)</f>
        <v>0</v>
      </c>
      <c r="I85" s="487"/>
      <c r="J85" s="465"/>
      <c r="K85" s="488" t="s">
        <v>145</v>
      </c>
      <c r="L85" s="512">
        <f>SUM(L58,L62,L66,L74)</f>
        <v>0</v>
      </c>
      <c r="M85" s="487"/>
      <c r="N85" s="487"/>
      <c r="O85" s="488" t="s">
        <v>145</v>
      </c>
      <c r="P85" s="512">
        <f>SUM(P58,P62,P66,P74)</f>
        <v>0</v>
      </c>
      <c r="Q85" s="487"/>
      <c r="R85" s="487"/>
      <c r="S85" s="488" t="s">
        <v>145</v>
      </c>
      <c r="T85" s="512">
        <f>SUM(T58,T62,T66,T74)</f>
        <v>0</v>
      </c>
      <c r="U85" s="487"/>
      <c r="V85" s="487"/>
      <c r="W85" s="488" t="s">
        <v>145</v>
      </c>
      <c r="X85" s="512">
        <f>SUM(X58,X62,X66,X74)</f>
        <v>0</v>
      </c>
      <c r="Y85" s="489">
        <f t="shared" ref="Y85:Y89" si="27">SUM(H85,L85,P85,T85,X85)</f>
        <v>0</v>
      </c>
      <c r="Z85" s="490" t="s">
        <v>144</v>
      </c>
      <c r="AB85" s="7"/>
      <c r="AC85" s="7"/>
      <c r="AD85" s="7"/>
      <c r="AE85" s="7"/>
    </row>
    <row r="86" spans="1:31" s="7" customFormat="1" x14ac:dyDescent="0.2">
      <c r="A86" s="491"/>
      <c r="B86" s="485"/>
      <c r="C86" s="485"/>
      <c r="D86" s="485"/>
      <c r="E86" s="485"/>
      <c r="F86" s="485"/>
      <c r="G86" s="486" t="s">
        <v>121</v>
      </c>
      <c r="H86" s="512">
        <f>(H90*25000)+H85</f>
        <v>0</v>
      </c>
      <c r="I86" s="487"/>
      <c r="J86" s="485"/>
      <c r="K86" s="488" t="s">
        <v>146</v>
      </c>
      <c r="L86" s="512">
        <f>(L90*25000)+L85</f>
        <v>0</v>
      </c>
      <c r="M86" s="487"/>
      <c r="N86" s="487"/>
      <c r="O86" s="488" t="s">
        <v>146</v>
      </c>
      <c r="P86" s="512">
        <f>(P90*25000)+P85</f>
        <v>0</v>
      </c>
      <c r="Q86" s="487"/>
      <c r="R86" s="487"/>
      <c r="S86" s="488" t="s">
        <v>146</v>
      </c>
      <c r="T86" s="512">
        <f>(T90*25000)+T85</f>
        <v>0</v>
      </c>
      <c r="U86" s="487"/>
      <c r="V86" s="487"/>
      <c r="W86" s="488" t="s">
        <v>146</v>
      </c>
      <c r="X86" s="512">
        <f>(X90*25000)+X85</f>
        <v>0</v>
      </c>
      <c r="Y86" s="489">
        <f t="shared" si="27"/>
        <v>0</v>
      </c>
      <c r="Z86" s="490" t="s">
        <v>121</v>
      </c>
    </row>
    <row r="87" spans="1:31" s="7" customFormat="1" x14ac:dyDescent="0.2">
      <c r="A87" s="491"/>
      <c r="B87" s="485"/>
      <c r="C87" s="485"/>
      <c r="D87" s="485"/>
      <c r="E87" s="485"/>
      <c r="F87" s="485"/>
      <c r="G87" s="486" t="s">
        <v>147</v>
      </c>
      <c r="H87" s="512">
        <f>H86-H91</f>
        <v>0</v>
      </c>
      <c r="I87" s="487"/>
      <c r="J87" s="485"/>
      <c r="K87" s="488" t="s">
        <v>148</v>
      </c>
      <c r="L87" s="512">
        <f>L86-L91</f>
        <v>0</v>
      </c>
      <c r="M87" s="487"/>
      <c r="N87" s="487"/>
      <c r="O87" s="488" t="s">
        <v>148</v>
      </c>
      <c r="P87" s="512">
        <f>P86-P91</f>
        <v>0</v>
      </c>
      <c r="Q87" s="487"/>
      <c r="R87" s="487"/>
      <c r="S87" s="488" t="s">
        <v>148</v>
      </c>
      <c r="T87" s="512">
        <f>T86-T91</f>
        <v>0</v>
      </c>
      <c r="U87" s="487"/>
      <c r="V87" s="487"/>
      <c r="W87" s="488" t="s">
        <v>148</v>
      </c>
      <c r="X87" s="512">
        <f>X86-X91</f>
        <v>0</v>
      </c>
      <c r="Y87" s="489">
        <f t="shared" si="27"/>
        <v>0</v>
      </c>
      <c r="Z87" s="490" t="s">
        <v>147</v>
      </c>
    </row>
    <row r="88" spans="1:31" x14ac:dyDescent="0.2">
      <c r="A88" s="484"/>
      <c r="B88" s="485"/>
      <c r="C88" s="485"/>
      <c r="D88" s="485"/>
      <c r="E88" s="485"/>
      <c r="F88" s="485"/>
      <c r="G88" s="486" t="s">
        <v>149</v>
      </c>
      <c r="H88" s="512">
        <f>ROUND(H87*$L$9,0)</f>
        <v>0</v>
      </c>
      <c r="I88" s="487"/>
      <c r="J88" s="465"/>
      <c r="K88" s="488" t="s">
        <v>150</v>
      </c>
      <c r="L88" s="512">
        <f>ROUND(L87*$L$9,0)</f>
        <v>0</v>
      </c>
      <c r="M88" s="487"/>
      <c r="N88" s="487"/>
      <c r="O88" s="488" t="s">
        <v>150</v>
      </c>
      <c r="P88" s="512">
        <f>ROUND(P87*$L$9,0)</f>
        <v>0</v>
      </c>
      <c r="Q88" s="487"/>
      <c r="R88" s="487"/>
      <c r="S88" s="488" t="s">
        <v>150</v>
      </c>
      <c r="T88" s="512">
        <f>ROUND(T87*$L$9,0)</f>
        <v>0</v>
      </c>
      <c r="U88" s="487"/>
      <c r="V88" s="487"/>
      <c r="W88" s="488" t="s">
        <v>150</v>
      </c>
      <c r="X88" s="512">
        <f>ROUND(X87*$L$9,0)</f>
        <v>0</v>
      </c>
      <c r="Y88" s="489">
        <f t="shared" si="27"/>
        <v>0</v>
      </c>
      <c r="Z88" s="490" t="s">
        <v>149</v>
      </c>
      <c r="AB88" s="7"/>
      <c r="AC88" s="7"/>
      <c r="AD88" s="7"/>
      <c r="AE88" s="7"/>
    </row>
    <row r="89" spans="1:31" x14ac:dyDescent="0.2">
      <c r="A89" s="484"/>
      <c r="B89" s="485"/>
      <c r="C89" s="485"/>
      <c r="D89" s="485"/>
      <c r="E89" s="485"/>
      <c r="F89" s="485"/>
      <c r="G89" s="486" t="s">
        <v>151</v>
      </c>
      <c r="H89" s="513">
        <f>SUM(H86,H88)</f>
        <v>0</v>
      </c>
      <c r="I89" s="487"/>
      <c r="J89" s="465"/>
      <c r="K89" s="488" t="s">
        <v>152</v>
      </c>
      <c r="L89" s="513">
        <f>SUM(L86,L88)</f>
        <v>0</v>
      </c>
      <c r="M89" s="487"/>
      <c r="N89" s="487"/>
      <c r="O89" s="488" t="s">
        <v>152</v>
      </c>
      <c r="P89" s="513">
        <f>SUM(P86,P88)</f>
        <v>0</v>
      </c>
      <c r="Q89" s="487"/>
      <c r="R89" s="487"/>
      <c r="S89" s="488" t="s">
        <v>152</v>
      </c>
      <c r="T89" s="513">
        <f>SUM(T86,T88)</f>
        <v>0</v>
      </c>
      <c r="U89" s="487"/>
      <c r="V89" s="487"/>
      <c r="W89" s="492" t="s">
        <v>152</v>
      </c>
      <c r="X89" s="513">
        <f>SUM(X86,X88)</f>
        <v>0</v>
      </c>
      <c r="Y89" s="489">
        <f t="shared" si="27"/>
        <v>0</v>
      </c>
      <c r="Z89" s="490" t="s">
        <v>151</v>
      </c>
      <c r="AB89" s="7"/>
      <c r="AC89" s="7"/>
      <c r="AD89" s="7"/>
      <c r="AE89" s="7"/>
    </row>
    <row r="90" spans="1:31" s="50" customFormat="1" x14ac:dyDescent="0.2">
      <c r="A90" s="484"/>
      <c r="B90" s="465"/>
      <c r="C90" s="465"/>
      <c r="D90" s="751" t="s">
        <v>153</v>
      </c>
      <c r="E90" s="752"/>
      <c r="F90" s="753"/>
      <c r="G90" s="493"/>
      <c r="H90" s="494">
        <f>ROUNDUP((H78/25000),0)</f>
        <v>0</v>
      </c>
      <c r="I90" s="494"/>
      <c r="J90" s="494"/>
      <c r="K90" s="493"/>
      <c r="L90" s="494">
        <f>ROUNDUP((L78/25000),0)</f>
        <v>0</v>
      </c>
      <c r="M90" s="494"/>
      <c r="N90" s="494"/>
      <c r="O90" s="493"/>
      <c r="P90" s="494">
        <f>ROUNDUP((P78/25000),0)</f>
        <v>0</v>
      </c>
      <c r="Q90" s="494"/>
      <c r="R90" s="494"/>
      <c r="S90" s="493"/>
      <c r="T90" s="494">
        <f>ROUNDUP((T78/25000),0)</f>
        <v>0</v>
      </c>
      <c r="U90" s="495"/>
      <c r="V90" s="494"/>
      <c r="W90" s="496"/>
      <c r="X90" s="497">
        <f>ROUNDUP((X78/25000),0)</f>
        <v>0</v>
      </c>
      <c r="Y90" s="498"/>
      <c r="Z90" s="499"/>
      <c r="AA90" s="4"/>
      <c r="AB90" s="4"/>
      <c r="AC90" s="1"/>
      <c r="AD90" s="2"/>
      <c r="AE90" s="3"/>
    </row>
    <row r="91" spans="1:31" s="55" customFormat="1" ht="13.5" thickBot="1" x14ac:dyDescent="0.25">
      <c r="A91" s="500"/>
      <c r="B91" s="501"/>
      <c r="C91" s="501"/>
      <c r="D91" s="748" t="s">
        <v>154</v>
      </c>
      <c r="E91" s="749"/>
      <c r="F91" s="750"/>
      <c r="G91" s="502"/>
      <c r="H91" s="503">
        <f>H77-H79</f>
        <v>0</v>
      </c>
      <c r="I91" s="503"/>
      <c r="J91" s="503"/>
      <c r="K91" s="502"/>
      <c r="L91" s="503">
        <f>L77-L79</f>
        <v>0</v>
      </c>
      <c r="M91" s="503"/>
      <c r="N91" s="503"/>
      <c r="O91" s="502"/>
      <c r="P91" s="503">
        <f>P77-P79</f>
        <v>0</v>
      </c>
      <c r="Q91" s="503"/>
      <c r="R91" s="503"/>
      <c r="S91" s="502"/>
      <c r="T91" s="503">
        <f>T77-T79</f>
        <v>0</v>
      </c>
      <c r="U91" s="503"/>
      <c r="V91" s="503"/>
      <c r="W91" s="502"/>
      <c r="X91" s="504">
        <f>X77-X79</f>
        <v>0</v>
      </c>
      <c r="Y91" s="505"/>
      <c r="Z91" s="506"/>
      <c r="AA91" s="7"/>
      <c r="AB91" s="7"/>
      <c r="AC91" s="8"/>
      <c r="AD91" s="9"/>
      <c r="AE91" s="10"/>
    </row>
    <row r="93" spans="1:31" ht="13.5" thickBot="1" x14ac:dyDescent="0.25">
      <c r="H93" s="79"/>
      <c r="I93" s="79"/>
      <c r="P93" s="79"/>
      <c r="Q93" s="79"/>
    </row>
    <row r="94" spans="1:31" outlineLevel="1" x14ac:dyDescent="0.2">
      <c r="A94" s="67" t="s">
        <v>131</v>
      </c>
      <c r="B94" s="68"/>
      <c r="C94" s="68"/>
      <c r="D94" s="68"/>
      <c r="E94" s="68"/>
      <c r="F94" s="68"/>
      <c r="G94" s="68"/>
      <c r="H94" s="69" t="s">
        <v>37</v>
      </c>
      <c r="I94" s="69"/>
      <c r="J94" s="68"/>
      <c r="K94" s="68"/>
      <c r="L94" s="69" t="s">
        <v>38</v>
      </c>
      <c r="M94" s="69"/>
      <c r="N94" s="68"/>
      <c r="O94" s="68"/>
      <c r="P94" s="69" t="s">
        <v>39</v>
      </c>
      <c r="Q94" s="69"/>
      <c r="R94" s="68"/>
      <c r="S94" s="68"/>
      <c r="T94" s="69" t="s">
        <v>40</v>
      </c>
      <c r="U94" s="69"/>
      <c r="V94" s="68"/>
      <c r="W94" s="68"/>
      <c r="X94" s="87" t="s">
        <v>41</v>
      </c>
    </row>
    <row r="95" spans="1:31" outlineLevel="1" x14ac:dyDescent="0.2">
      <c r="A95" s="70"/>
      <c r="B95" s="71"/>
      <c r="C95" s="71"/>
      <c r="D95" s="71"/>
      <c r="E95" s="71"/>
      <c r="F95" s="71"/>
      <c r="G95" s="72" t="s">
        <v>132</v>
      </c>
      <c r="H95" s="73">
        <f>H87</f>
        <v>0</v>
      </c>
      <c r="I95" s="73"/>
      <c r="J95" s="92"/>
      <c r="K95" s="93" t="s">
        <v>132</v>
      </c>
      <c r="L95" s="73">
        <f>L87</f>
        <v>0</v>
      </c>
      <c r="M95" s="73"/>
      <c r="N95" s="71"/>
      <c r="O95" s="93" t="s">
        <v>132</v>
      </c>
      <c r="P95" s="73">
        <f>P87</f>
        <v>0</v>
      </c>
      <c r="Q95" s="73"/>
      <c r="R95" s="71"/>
      <c r="S95" s="93" t="s">
        <v>132</v>
      </c>
      <c r="T95" s="73">
        <f>T87</f>
        <v>0</v>
      </c>
      <c r="U95" s="73"/>
      <c r="V95" s="71"/>
      <c r="W95" s="93" t="s">
        <v>132</v>
      </c>
      <c r="X95" s="88">
        <f>X87</f>
        <v>0</v>
      </c>
    </row>
    <row r="96" spans="1:31" outlineLevel="1" x14ac:dyDescent="0.2">
      <c r="A96" s="70"/>
      <c r="B96" s="71"/>
      <c r="C96" s="71"/>
      <c r="D96" s="71"/>
      <c r="E96" s="71"/>
      <c r="F96" s="71"/>
      <c r="G96" s="72" t="s">
        <v>133</v>
      </c>
      <c r="H96" s="73">
        <f>H32</f>
        <v>0</v>
      </c>
      <c r="I96" s="73"/>
      <c r="J96" s="92"/>
      <c r="K96" s="93" t="s">
        <v>133</v>
      </c>
      <c r="L96" s="73">
        <f>L32</f>
        <v>0</v>
      </c>
      <c r="M96" s="73"/>
      <c r="N96" s="71"/>
      <c r="O96" s="93" t="s">
        <v>133</v>
      </c>
      <c r="P96" s="73">
        <f>P32</f>
        <v>0</v>
      </c>
      <c r="Q96" s="73"/>
      <c r="R96" s="71"/>
      <c r="S96" s="93" t="s">
        <v>133</v>
      </c>
      <c r="T96" s="73">
        <f>T32</f>
        <v>0</v>
      </c>
      <c r="U96" s="73"/>
      <c r="V96" s="71"/>
      <c r="W96" s="93" t="s">
        <v>133</v>
      </c>
      <c r="X96" s="88">
        <f>X32</f>
        <v>0</v>
      </c>
    </row>
    <row r="97" spans="1:31" outlineLevel="1" x14ac:dyDescent="0.2">
      <c r="A97" s="70"/>
      <c r="B97" s="90"/>
      <c r="C97" s="90"/>
      <c r="D97" s="90"/>
      <c r="E97" s="90"/>
      <c r="F97" s="90"/>
      <c r="G97" s="72" t="s">
        <v>134</v>
      </c>
      <c r="H97" s="73">
        <f>H42</f>
        <v>0</v>
      </c>
      <c r="I97" s="73"/>
      <c r="J97" s="94"/>
      <c r="K97" s="93" t="s">
        <v>134</v>
      </c>
      <c r="L97" s="73">
        <f>L42</f>
        <v>0</v>
      </c>
      <c r="M97" s="73"/>
      <c r="N97" s="91"/>
      <c r="O97" s="93" t="s">
        <v>134</v>
      </c>
      <c r="P97" s="73">
        <f>P42</f>
        <v>0</v>
      </c>
      <c r="Q97" s="73"/>
      <c r="R97" s="91"/>
      <c r="S97" s="93" t="s">
        <v>134</v>
      </c>
      <c r="T97" s="73">
        <f>T42</f>
        <v>0</v>
      </c>
      <c r="U97" s="73"/>
      <c r="V97" s="91"/>
      <c r="W97" s="93" t="s">
        <v>134</v>
      </c>
      <c r="X97" s="88">
        <f>X42</f>
        <v>0</v>
      </c>
    </row>
    <row r="98" spans="1:31" outlineLevel="1" x14ac:dyDescent="0.2">
      <c r="A98" s="70"/>
      <c r="B98" s="71"/>
      <c r="C98" s="71"/>
      <c r="D98" s="71"/>
      <c r="E98" s="71"/>
      <c r="F98" s="71"/>
      <c r="G98" s="72" t="s">
        <v>135</v>
      </c>
      <c r="H98" s="73">
        <f>H47</f>
        <v>0</v>
      </c>
      <c r="I98" s="73"/>
      <c r="J98" s="92"/>
      <c r="K98" s="93" t="s">
        <v>135</v>
      </c>
      <c r="L98" s="73">
        <f>L47</f>
        <v>0</v>
      </c>
      <c r="M98" s="73"/>
      <c r="N98" s="71"/>
      <c r="O98" s="93" t="s">
        <v>135</v>
      </c>
      <c r="P98" s="73">
        <f>P47</f>
        <v>0</v>
      </c>
      <c r="Q98" s="73"/>
      <c r="R98" s="71"/>
      <c r="S98" s="93" t="s">
        <v>135</v>
      </c>
      <c r="T98" s="73">
        <f>T47</f>
        <v>0</v>
      </c>
      <c r="U98" s="73"/>
      <c r="V98" s="71"/>
      <c r="W98" s="93" t="s">
        <v>135</v>
      </c>
      <c r="X98" s="88">
        <f>X47</f>
        <v>0</v>
      </c>
    </row>
    <row r="99" spans="1:31" ht="13.5" outlineLevel="1" thickBot="1" x14ac:dyDescent="0.25">
      <c r="A99" s="75"/>
      <c r="B99" s="76"/>
      <c r="C99" s="76"/>
      <c r="D99" s="76"/>
      <c r="E99" s="76"/>
      <c r="F99" s="76"/>
      <c r="G99" s="77" t="s">
        <v>136</v>
      </c>
      <c r="H99" s="78">
        <f>(SUM(H59,H63,H67,H75))-(SUM(G59,G63,G67,G75))</f>
        <v>0</v>
      </c>
      <c r="I99" s="78"/>
      <c r="J99" s="95"/>
      <c r="K99" s="96" t="s">
        <v>136</v>
      </c>
      <c r="L99" s="78">
        <f>(SUM(L59,L63,L67,L75))-(SUM(K59,K63,K67,K75))</f>
        <v>0</v>
      </c>
      <c r="M99" s="78"/>
      <c r="N99" s="76"/>
      <c r="O99" s="96" t="s">
        <v>136</v>
      </c>
      <c r="P99" s="78">
        <f>(SUM(P59,P63,P67,P75))-(SUM(O59,O63,O67,O75))</f>
        <v>0</v>
      </c>
      <c r="Q99" s="78"/>
      <c r="R99" s="76"/>
      <c r="S99" s="77" t="s">
        <v>136</v>
      </c>
      <c r="T99" s="78">
        <f>(SUM(T59,T63,T67,T75))-(SUM(S59,S63,S67,S75))</f>
        <v>0</v>
      </c>
      <c r="U99" s="78"/>
      <c r="V99" s="76"/>
      <c r="W99" s="96" t="s">
        <v>136</v>
      </c>
      <c r="X99" s="89">
        <f>(SUM(X59,X63,X67,X75))-(SUM(W59,W63,W67,W75))</f>
        <v>0</v>
      </c>
    </row>
    <row r="102" spans="1:31" outlineLevel="1" x14ac:dyDescent="0.2">
      <c r="A102" s="664" t="s">
        <v>194</v>
      </c>
    </row>
    <row r="103" spans="1:31" ht="13.5" outlineLevel="1" thickBot="1" x14ac:dyDescent="0.25">
      <c r="A103" s="716" t="s">
        <v>36</v>
      </c>
      <c r="B103" s="353"/>
      <c r="C103" s="353"/>
      <c r="D103" s="353"/>
      <c r="E103" s="695" t="s">
        <v>37</v>
      </c>
      <c r="F103" s="695"/>
      <c r="G103" s="695"/>
      <c r="H103" s="695"/>
      <c r="I103" s="695" t="s">
        <v>38</v>
      </c>
      <c r="J103" s="695"/>
      <c r="K103" s="695"/>
      <c r="L103" s="695"/>
      <c r="M103" s="695" t="s">
        <v>39</v>
      </c>
      <c r="N103" s="695"/>
      <c r="O103" s="695"/>
      <c r="P103" s="695"/>
      <c r="Q103" s="695" t="s">
        <v>40</v>
      </c>
      <c r="R103" s="695"/>
      <c r="S103" s="695"/>
      <c r="T103" s="695"/>
      <c r="U103" s="695" t="s">
        <v>41</v>
      </c>
      <c r="V103" s="695"/>
      <c r="W103" s="695"/>
      <c r="X103" s="695"/>
      <c r="Y103" s="354"/>
      <c r="Z103" s="331"/>
    </row>
    <row r="104" spans="1:31" ht="15.75" customHeight="1" outlineLevel="1" x14ac:dyDescent="0.2">
      <c r="A104" s="716"/>
      <c r="B104" s="717" t="s">
        <v>188</v>
      </c>
      <c r="C104" s="719" t="s">
        <v>42</v>
      </c>
      <c r="D104" s="721" t="s">
        <v>43</v>
      </c>
      <c r="E104" s="696" t="s">
        <v>189</v>
      </c>
      <c r="F104" s="704" t="s">
        <v>195</v>
      </c>
      <c r="G104" s="704" t="s">
        <v>196</v>
      </c>
      <c r="H104" s="721" t="s">
        <v>197</v>
      </c>
      <c r="I104" s="696" t="s">
        <v>190</v>
      </c>
      <c r="J104" s="704" t="s">
        <v>195</v>
      </c>
      <c r="K104" s="704" t="s">
        <v>196</v>
      </c>
      <c r="L104" s="721" t="s">
        <v>197</v>
      </c>
      <c r="M104" s="696" t="s">
        <v>191</v>
      </c>
      <c r="N104" s="704" t="s">
        <v>195</v>
      </c>
      <c r="O104" s="704" t="s">
        <v>196</v>
      </c>
      <c r="P104" s="721" t="s">
        <v>197</v>
      </c>
      <c r="Q104" s="696" t="s">
        <v>192</v>
      </c>
      <c r="R104" s="704" t="s">
        <v>195</v>
      </c>
      <c r="S104" s="704" t="s">
        <v>196</v>
      </c>
      <c r="T104" s="721" t="s">
        <v>197</v>
      </c>
      <c r="U104" s="696" t="s">
        <v>193</v>
      </c>
      <c r="V104" s="704" t="s">
        <v>195</v>
      </c>
      <c r="W104" s="704" t="s">
        <v>196</v>
      </c>
      <c r="X104" s="721" t="s">
        <v>197</v>
      </c>
      <c r="Y104" s="700" t="s">
        <v>47</v>
      </c>
      <c r="Z104" s="339"/>
      <c r="AC104" s="4"/>
      <c r="AD104" s="4"/>
      <c r="AE104" s="4"/>
    </row>
    <row r="105" spans="1:31" s="11" customFormat="1" outlineLevel="1" x14ac:dyDescent="0.2">
      <c r="A105" s="443" t="s">
        <v>48</v>
      </c>
      <c r="B105" s="718"/>
      <c r="C105" s="720"/>
      <c r="D105" s="722"/>
      <c r="E105" s="697"/>
      <c r="F105" s="705"/>
      <c r="G105" s="705"/>
      <c r="H105" s="722"/>
      <c r="I105" s="697"/>
      <c r="J105" s="705"/>
      <c r="K105" s="705"/>
      <c r="L105" s="722"/>
      <c r="M105" s="697"/>
      <c r="N105" s="705"/>
      <c r="O105" s="705"/>
      <c r="P105" s="722"/>
      <c r="Q105" s="697"/>
      <c r="R105" s="705"/>
      <c r="S105" s="705"/>
      <c r="T105" s="722"/>
      <c r="U105" s="697"/>
      <c r="V105" s="705"/>
      <c r="W105" s="705"/>
      <c r="X105" s="722"/>
      <c r="Y105" s="701"/>
      <c r="Z105" s="340"/>
    </row>
    <row r="106" spans="1:31" outlineLevel="1" x14ac:dyDescent="0.2">
      <c r="A106" s="442" t="s">
        <v>49</v>
      </c>
      <c r="B106" s="718"/>
      <c r="C106" s="720"/>
      <c r="D106" s="722"/>
      <c r="E106" s="697"/>
      <c r="F106" s="705"/>
      <c r="G106" s="705"/>
      <c r="H106" s="722"/>
      <c r="I106" s="697"/>
      <c r="J106" s="705"/>
      <c r="K106" s="705"/>
      <c r="L106" s="722"/>
      <c r="M106" s="697"/>
      <c r="N106" s="705"/>
      <c r="O106" s="705"/>
      <c r="P106" s="722"/>
      <c r="Q106" s="697"/>
      <c r="R106" s="705"/>
      <c r="S106" s="705"/>
      <c r="T106" s="722"/>
      <c r="U106" s="697"/>
      <c r="V106" s="705"/>
      <c r="W106" s="705"/>
      <c r="X106" s="722"/>
      <c r="Y106" s="701"/>
      <c r="Z106" s="337" t="s">
        <v>50</v>
      </c>
    </row>
    <row r="107" spans="1:31" outlineLevel="1" x14ac:dyDescent="0.2">
      <c r="A107" s="111" t="s">
        <v>51</v>
      </c>
      <c r="B107" s="112">
        <f>B18</f>
        <v>0</v>
      </c>
      <c r="C107" s="602">
        <f>C18</f>
        <v>0</v>
      </c>
      <c r="D107" s="640">
        <f>9*C107</f>
        <v>0</v>
      </c>
      <c r="E107" s="638">
        <f>B107*(1+$H$13)</f>
        <v>0</v>
      </c>
      <c r="F107" s="175">
        <f>IF(E107&gt;($L$2*9),(($C$107*E107)-F18),0)</f>
        <v>0</v>
      </c>
      <c r="G107" s="175">
        <f>ROUND(F107*$L$5,0)</f>
        <v>0</v>
      </c>
      <c r="H107" s="176">
        <f>ROUND(SUM(F107:G107),0)</f>
        <v>0</v>
      </c>
      <c r="I107" s="638">
        <f>IF($B$10&gt;1,B107*(1+$H$13)*(1+$L$13),0)</f>
        <v>0</v>
      </c>
      <c r="J107" s="175">
        <f>IF(I107&gt;($L$2*9),(($C$107*I107)-J18),0)</f>
        <v>0</v>
      </c>
      <c r="K107" s="175">
        <f>ROUND(J107*$L$5,0)</f>
        <v>0</v>
      </c>
      <c r="L107" s="176">
        <f t="shared" ref="L107:L110" si="28">ROUND(SUM(J107:K107),0)</f>
        <v>0</v>
      </c>
      <c r="M107" s="638">
        <f>IF($B$10&gt;2,B107*(1+$H$13)*(1+$L$13)*(1+$P$13),0)</f>
        <v>0</v>
      </c>
      <c r="N107" s="175">
        <f>IF(M107&gt;($L$2*9),(($C$107*M107)-N18),0)</f>
        <v>0</v>
      </c>
      <c r="O107" s="175">
        <f>ROUND(N107*$L$5,0)</f>
        <v>0</v>
      </c>
      <c r="P107" s="176">
        <f t="shared" ref="P107:P111" si="29">ROUND(SUM(N107:O107),0)</f>
        <v>0</v>
      </c>
      <c r="Q107" s="638">
        <f>IF($B$10&gt;3,B107*(1+$H$13)*(1+$L$13)*(1+$P$13)*(1+$T$13),0)</f>
        <v>0</v>
      </c>
      <c r="R107" s="175">
        <f>IF(Q107&gt;($L$2*9),(($C$107*Q107)-R18),0)</f>
        <v>0</v>
      </c>
      <c r="S107" s="175">
        <f>ROUND(R107*$L$5,0)</f>
        <v>0</v>
      </c>
      <c r="T107" s="176">
        <f t="shared" ref="T107:T111" si="30">ROUND(SUM(R107:S107),0)</f>
        <v>0</v>
      </c>
      <c r="U107" s="638">
        <f>IF($B$10&gt;4,B107*(1+$H$13)*(1+$L$13)*(1+$P$13)*(1+$T$13)*(1+$X$13),0)</f>
        <v>0</v>
      </c>
      <c r="V107" s="175">
        <f>IF(U107&gt;($L$2*9),(($C$107*U107)-V18),0)</f>
        <v>0</v>
      </c>
      <c r="W107" s="175">
        <f>ROUND(V107*$L$5,0)</f>
        <v>0</v>
      </c>
      <c r="X107" s="176">
        <f t="shared" ref="X107:X111" si="31">ROUND(SUM(V107:W107),0)</f>
        <v>0</v>
      </c>
      <c r="Y107" s="355">
        <f>ROUND(SUM(H107,L107,P107,T107,X107),0)</f>
        <v>0</v>
      </c>
      <c r="Z107" s="341" t="s">
        <v>51</v>
      </c>
    </row>
    <row r="108" spans="1:31" outlineLevel="1" x14ac:dyDescent="0.2">
      <c r="A108" s="113" t="s">
        <v>52</v>
      </c>
      <c r="B108" s="665">
        <f t="shared" ref="B108:C111" si="32">B19</f>
        <v>0</v>
      </c>
      <c r="C108" s="602">
        <f t="shared" si="32"/>
        <v>0</v>
      </c>
      <c r="D108" s="640">
        <f>3*C108</f>
        <v>0</v>
      </c>
      <c r="E108" s="638">
        <f>B108*(1+$H$13)</f>
        <v>0</v>
      </c>
      <c r="F108" s="175">
        <f>IF(E108&gt;($L$2*3),(($C$108*E108)-F19),0)</f>
        <v>0</v>
      </c>
      <c r="G108" s="175">
        <f>ROUND(F108*$L$8,0)</f>
        <v>0</v>
      </c>
      <c r="H108" s="176">
        <f t="shared" ref="H108:H111" si="33">ROUND(SUM(F108:G108),0)</f>
        <v>0</v>
      </c>
      <c r="I108" s="638">
        <f t="shared" ref="I108:I111" si="34">IF($B$10&gt;1,B108*(1+$H$13)*(1+$L$13),0)</f>
        <v>0</v>
      </c>
      <c r="J108" s="175">
        <f>IF(I108&gt;($L$2*3),(($C$108*I108)-J19),0)</f>
        <v>0</v>
      </c>
      <c r="K108" s="175">
        <f>ROUND(J108*$L$8,0)</f>
        <v>0</v>
      </c>
      <c r="L108" s="176">
        <f t="shared" si="28"/>
        <v>0</v>
      </c>
      <c r="M108" s="638">
        <f t="shared" ref="M108:M111" si="35">IF($B$10&gt;2,B108*(1+$H$13)*(1+$L$13)*(1+$P$13),0)</f>
        <v>0</v>
      </c>
      <c r="N108" s="175">
        <f>IF(M108&gt;($L$2*3),(($C$108*M108)-N19),0)</f>
        <v>0</v>
      </c>
      <c r="O108" s="175">
        <f>ROUND(N108*$L$8,0)</f>
        <v>0</v>
      </c>
      <c r="P108" s="176">
        <f t="shared" si="29"/>
        <v>0</v>
      </c>
      <c r="Q108" s="638">
        <f t="shared" ref="Q108:Q111" si="36">IF($B$10&gt;3,B108*(1+$H$13)*(1+$L$13)*(1+$P$13)*(1+$T$13),0)</f>
        <v>0</v>
      </c>
      <c r="R108" s="175">
        <f>IF(Q108&gt;($L$2*3),(($C$108*Q108)-R19),0)</f>
        <v>0</v>
      </c>
      <c r="S108" s="175">
        <f>ROUND(R108*$L$8,0)</f>
        <v>0</v>
      </c>
      <c r="T108" s="176">
        <f t="shared" si="30"/>
        <v>0</v>
      </c>
      <c r="U108" s="638">
        <f t="shared" ref="U108:U111" si="37">IF($B$10&gt;4,B108*(1+$H$13)*(1+$L$13)*(1+$P$13)*(1+$T$13)*(1+$X$13),0)</f>
        <v>0</v>
      </c>
      <c r="V108" s="175">
        <f>IF(U108&gt;($L$2*3),(($C$108*U108)-V19),0)</f>
        <v>0</v>
      </c>
      <c r="W108" s="175">
        <f>ROUND(V108*$L$8,0)</f>
        <v>0</v>
      </c>
      <c r="X108" s="176">
        <f t="shared" si="31"/>
        <v>0</v>
      </c>
      <c r="Y108" s="355">
        <f t="shared" ref="Y108:Y111" si="38">ROUND(SUM(H108,L108,P108,T108,X108),0)</f>
        <v>0</v>
      </c>
      <c r="Z108" s="341" t="s">
        <v>52</v>
      </c>
    </row>
    <row r="109" spans="1:31" outlineLevel="1" x14ac:dyDescent="0.2">
      <c r="A109" s="113" t="s">
        <v>53</v>
      </c>
      <c r="B109" s="112">
        <f t="shared" si="32"/>
        <v>0</v>
      </c>
      <c r="C109" s="602">
        <f t="shared" si="32"/>
        <v>0</v>
      </c>
      <c r="D109" s="640">
        <f>10*C109</f>
        <v>0</v>
      </c>
      <c r="E109" s="638">
        <f>B109*(1+$H$13)</f>
        <v>0</v>
      </c>
      <c r="F109" s="175">
        <f>IF(E109&gt;($L$2*10),(($C$109*E109)-F20),0)</f>
        <v>0</v>
      </c>
      <c r="G109" s="175">
        <f>ROUND(F109*$L$5,0)</f>
        <v>0</v>
      </c>
      <c r="H109" s="176">
        <f t="shared" si="33"/>
        <v>0</v>
      </c>
      <c r="I109" s="638">
        <f t="shared" si="34"/>
        <v>0</v>
      </c>
      <c r="J109" s="175">
        <f>IF(I109&gt;($L$2*10),(($C$109*I109)-J20),0)</f>
        <v>0</v>
      </c>
      <c r="K109" s="175">
        <f>ROUND(J109*$L$5,0)</f>
        <v>0</v>
      </c>
      <c r="L109" s="176">
        <f t="shared" si="28"/>
        <v>0</v>
      </c>
      <c r="M109" s="638">
        <f t="shared" si="35"/>
        <v>0</v>
      </c>
      <c r="N109" s="175">
        <f>IF(M109&gt;($L$2*10),(($C$109*M109)-N20),0)</f>
        <v>0</v>
      </c>
      <c r="O109" s="175">
        <f>ROUND(N109*$L$5,0)</f>
        <v>0</v>
      </c>
      <c r="P109" s="176">
        <f t="shared" si="29"/>
        <v>0</v>
      </c>
      <c r="Q109" s="638">
        <f t="shared" si="36"/>
        <v>0</v>
      </c>
      <c r="R109" s="175">
        <f>IF(Q109&gt;($L$2*10),(($C$109*Q109)-R20),0)</f>
        <v>0</v>
      </c>
      <c r="S109" s="175">
        <f>ROUND(R109*$L$5,0)</f>
        <v>0</v>
      </c>
      <c r="T109" s="176">
        <f t="shared" si="30"/>
        <v>0</v>
      </c>
      <c r="U109" s="638">
        <f t="shared" si="37"/>
        <v>0</v>
      </c>
      <c r="V109" s="175">
        <f>IF(U109&gt;($L$2*10),(($C$109*U109)-V20),0)</f>
        <v>0</v>
      </c>
      <c r="W109" s="175">
        <f>ROUND(V109*$L$5,0)</f>
        <v>0</v>
      </c>
      <c r="X109" s="176">
        <f t="shared" si="31"/>
        <v>0</v>
      </c>
      <c r="Y109" s="355">
        <f t="shared" si="38"/>
        <v>0</v>
      </c>
      <c r="Z109" s="341" t="s">
        <v>53</v>
      </c>
    </row>
    <row r="110" spans="1:31" outlineLevel="1" x14ac:dyDescent="0.2">
      <c r="A110" s="113" t="s">
        <v>54</v>
      </c>
      <c r="B110" s="665">
        <f t="shared" si="32"/>
        <v>0</v>
      </c>
      <c r="C110" s="602">
        <f t="shared" si="32"/>
        <v>0</v>
      </c>
      <c r="D110" s="640">
        <f>2*C110</f>
        <v>0</v>
      </c>
      <c r="E110" s="638">
        <f t="shared" ref="E110:E111" si="39">B110*(1+$H$13)</f>
        <v>0</v>
      </c>
      <c r="F110" s="175">
        <f>IF(E110&gt;($L$2*2),(($C$110*E110)-F21),0)</f>
        <v>0</v>
      </c>
      <c r="G110" s="175">
        <f>ROUND(F110*$L$8,0)</f>
        <v>0</v>
      </c>
      <c r="H110" s="176">
        <f t="shared" si="33"/>
        <v>0</v>
      </c>
      <c r="I110" s="638">
        <f t="shared" si="34"/>
        <v>0</v>
      </c>
      <c r="J110" s="175">
        <f>IF(I110&gt;($L$2*2),(($C$110*I110)-J21),0)</f>
        <v>0</v>
      </c>
      <c r="K110" s="175">
        <f>ROUND(J110*$L$8,0)</f>
        <v>0</v>
      </c>
      <c r="L110" s="176">
        <f t="shared" si="28"/>
        <v>0</v>
      </c>
      <c r="M110" s="638">
        <f t="shared" si="35"/>
        <v>0</v>
      </c>
      <c r="N110" s="175">
        <f>IF(M110&gt;($L$2*2),(($C$110*M110)-N21),0)</f>
        <v>0</v>
      </c>
      <c r="O110" s="175">
        <f>ROUND(N110*$L$8,0)</f>
        <v>0</v>
      </c>
      <c r="P110" s="176">
        <f t="shared" si="29"/>
        <v>0</v>
      </c>
      <c r="Q110" s="638">
        <f t="shared" si="36"/>
        <v>0</v>
      </c>
      <c r="R110" s="175">
        <f>IF(Q110&gt;($L$2*2),(($C$110*Q110)-R21),0)</f>
        <v>0</v>
      </c>
      <c r="S110" s="175">
        <f>ROUND(R110*$L$8,0)</f>
        <v>0</v>
      </c>
      <c r="T110" s="176">
        <f t="shared" si="30"/>
        <v>0</v>
      </c>
      <c r="U110" s="638">
        <f t="shared" si="37"/>
        <v>0</v>
      </c>
      <c r="V110" s="175">
        <f>IF(U110&gt;($L$2*2),(($C$110*U110)-V21),0)</f>
        <v>0</v>
      </c>
      <c r="W110" s="175">
        <f>ROUND(V110*$L$8,0)</f>
        <v>0</v>
      </c>
      <c r="X110" s="176">
        <f t="shared" si="31"/>
        <v>0</v>
      </c>
      <c r="Y110" s="355">
        <f t="shared" si="38"/>
        <v>0</v>
      </c>
      <c r="Z110" s="341" t="s">
        <v>54</v>
      </c>
    </row>
    <row r="111" spans="1:31" outlineLevel="1" x14ac:dyDescent="0.2">
      <c r="A111" s="113" t="s">
        <v>55</v>
      </c>
      <c r="B111" s="112">
        <f t="shared" si="32"/>
        <v>0</v>
      </c>
      <c r="C111" s="602">
        <f t="shared" si="32"/>
        <v>0</v>
      </c>
      <c r="D111" s="640">
        <f t="shared" ref="D111" si="40">12*C111</f>
        <v>0</v>
      </c>
      <c r="E111" s="638">
        <f t="shared" si="39"/>
        <v>0</v>
      </c>
      <c r="F111" s="175">
        <f>IF(E111&gt;$L$3,(($C$111*E111)-F22),0)</f>
        <v>0</v>
      </c>
      <c r="G111" s="175">
        <f>ROUND(F111*$L$5,0)</f>
        <v>0</v>
      </c>
      <c r="H111" s="176">
        <f t="shared" si="33"/>
        <v>0</v>
      </c>
      <c r="I111" s="638">
        <f t="shared" si="34"/>
        <v>0</v>
      </c>
      <c r="J111" s="175">
        <f>IF(I111&gt;$L$3,(($C$111*I111)-J22),0)</f>
        <v>0</v>
      </c>
      <c r="K111" s="175">
        <f>ROUND(J111*$L$5,0)</f>
        <v>0</v>
      </c>
      <c r="L111" s="176">
        <f t="shared" ref="L111" si="41">ROUND(SUM(J111:K111),0)</f>
        <v>0</v>
      </c>
      <c r="M111" s="638">
        <f t="shared" si="35"/>
        <v>0</v>
      </c>
      <c r="N111" s="175">
        <f>IF(M111&gt;$L$3,(($C$111*M111)-N22),0)</f>
        <v>0</v>
      </c>
      <c r="O111" s="175">
        <f>ROUND(N111*$L$5,0)</f>
        <v>0</v>
      </c>
      <c r="P111" s="176">
        <f t="shared" si="29"/>
        <v>0</v>
      </c>
      <c r="Q111" s="638">
        <f t="shared" si="36"/>
        <v>0</v>
      </c>
      <c r="R111" s="175">
        <f>IF(Q111&gt;$L$3,(($C$111*Q111)-R22),0)</f>
        <v>0</v>
      </c>
      <c r="S111" s="175">
        <f>ROUND(R111*$L$5,0)</f>
        <v>0</v>
      </c>
      <c r="T111" s="176">
        <f t="shared" si="30"/>
        <v>0</v>
      </c>
      <c r="U111" s="638">
        <f t="shared" si="37"/>
        <v>0</v>
      </c>
      <c r="V111" s="175">
        <f>IF(U111&gt;$L$3,(($C$111*U111)-V22),0)</f>
        <v>0</v>
      </c>
      <c r="W111" s="175">
        <f>ROUND(V111*$L$5,0)</f>
        <v>0</v>
      </c>
      <c r="X111" s="176">
        <f t="shared" si="31"/>
        <v>0</v>
      </c>
      <c r="Y111" s="355">
        <f t="shared" si="38"/>
        <v>0</v>
      </c>
      <c r="Z111" s="341" t="s">
        <v>55</v>
      </c>
    </row>
  </sheetData>
  <sheetProtection sheet="1" objects="1" scenarios="1"/>
  <mergeCells count="122">
    <mergeCell ref="U104:U106"/>
    <mergeCell ref="V104:V106"/>
    <mergeCell ref="W104:W106"/>
    <mergeCell ref="X104:X106"/>
    <mergeCell ref="Y104:Y106"/>
    <mergeCell ref="U103:X103"/>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 ref="A103:A104"/>
    <mergeCell ref="E103:H103"/>
    <mergeCell ref="I103:L103"/>
    <mergeCell ref="M103:P103"/>
    <mergeCell ref="Q103:T103"/>
    <mergeCell ref="Q104:Q106"/>
    <mergeCell ref="R104:R106"/>
    <mergeCell ref="S104:S106"/>
    <mergeCell ref="T104:T106"/>
    <mergeCell ref="A1:I3"/>
    <mergeCell ref="M1:U4"/>
    <mergeCell ref="E15:E17"/>
    <mergeCell ref="I15:I17"/>
    <mergeCell ref="M15:M17"/>
    <mergeCell ref="Q15:Q17"/>
    <mergeCell ref="U15:U17"/>
    <mergeCell ref="C56:G56"/>
    <mergeCell ref="C10:G10"/>
    <mergeCell ref="G15:G17"/>
    <mergeCell ref="D32:G32"/>
    <mergeCell ref="C36:F36"/>
    <mergeCell ref="B43:G43"/>
    <mergeCell ref="A13:G13"/>
    <mergeCell ref="A14:A15"/>
    <mergeCell ref="F14:H14"/>
    <mergeCell ref="H15:H17"/>
    <mergeCell ref="B15:B17"/>
    <mergeCell ref="C15:C17"/>
    <mergeCell ref="D15:D17"/>
    <mergeCell ref="F15:F17"/>
    <mergeCell ref="A12:B12"/>
    <mergeCell ref="J32:K32"/>
    <mergeCell ref="N32:O32"/>
    <mergeCell ref="Y15:Y17"/>
    <mergeCell ref="R13:S13"/>
    <mergeCell ref="V13:W13"/>
    <mergeCell ref="J1:L1"/>
    <mergeCell ref="J4:L4"/>
    <mergeCell ref="S15:S17"/>
    <mergeCell ref="J9:K9"/>
    <mergeCell ref="T15:T17"/>
    <mergeCell ref="X15:X17"/>
    <mergeCell ref="V14:X14"/>
    <mergeCell ref="V15:V17"/>
    <mergeCell ref="R14:T14"/>
    <mergeCell ref="R15:R17"/>
    <mergeCell ref="W15:W17"/>
    <mergeCell ref="J13:K13"/>
    <mergeCell ref="N13:O13"/>
    <mergeCell ref="J14:L14"/>
    <mergeCell ref="N14:P14"/>
    <mergeCell ref="J15:J17"/>
    <mergeCell ref="K15:K17"/>
    <mergeCell ref="R32:S32"/>
    <mergeCell ref="V32:W32"/>
    <mergeCell ref="L15:L17"/>
    <mergeCell ref="N15:N17"/>
    <mergeCell ref="O15:O17"/>
    <mergeCell ref="P15:P17"/>
    <mergeCell ref="V33:W33"/>
    <mergeCell ref="D34:G34"/>
    <mergeCell ref="J34:K34"/>
    <mergeCell ref="N34:O34"/>
    <mergeCell ref="R34:S34"/>
    <mergeCell ref="V34:W34"/>
    <mergeCell ref="D33:G33"/>
    <mergeCell ref="J33:K33"/>
    <mergeCell ref="N33:O33"/>
    <mergeCell ref="R33:S33"/>
    <mergeCell ref="J76:K76"/>
    <mergeCell ref="V76:W76"/>
    <mergeCell ref="N76:O76"/>
    <mergeCell ref="C76:G76"/>
    <mergeCell ref="R76:S76"/>
    <mergeCell ref="V77:W77"/>
    <mergeCell ref="V78:W78"/>
    <mergeCell ref="A79:G79"/>
    <mergeCell ref="J79:K79"/>
    <mergeCell ref="N79:O79"/>
    <mergeCell ref="R79:S79"/>
    <mergeCell ref="V79:W79"/>
    <mergeCell ref="J78:K78"/>
    <mergeCell ref="N78:O78"/>
    <mergeCell ref="R78:S78"/>
    <mergeCell ref="R77:S77"/>
    <mergeCell ref="A78:G78"/>
    <mergeCell ref="A77:G77"/>
    <mergeCell ref="J77:K77"/>
    <mergeCell ref="N77:O77"/>
    <mergeCell ref="V81:W81"/>
    <mergeCell ref="N80:O80"/>
    <mergeCell ref="D91:F91"/>
    <mergeCell ref="D90:F90"/>
    <mergeCell ref="J80:K80"/>
    <mergeCell ref="R80:S80"/>
    <mergeCell ref="J81:K81"/>
    <mergeCell ref="A81:G81"/>
    <mergeCell ref="A80:G80"/>
    <mergeCell ref="N81:O81"/>
    <mergeCell ref="R81:S81"/>
    <mergeCell ref="V80:W80"/>
  </mergeCells>
  <conditionalFormatting sqref="AB53">
    <cfRule type="cellIs" dxfId="4" priority="1" operator="lessThan">
      <formula>0.02</formula>
    </cfRule>
  </conditionalFormatting>
  <pageMargins left="0.7" right="0.7" top="0.75" bottom="0.75" header="0.3" footer="0.3"/>
  <pageSetup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11"/>
  <sheetViews>
    <sheetView zoomScaleNormal="100" workbookViewId="0">
      <selection activeCell="D29" sqref="D29"/>
    </sheetView>
  </sheetViews>
  <sheetFormatPr defaultRowHeight="12.75" outlineLevelRow="1" x14ac:dyDescent="0.2"/>
  <cols>
    <col min="1" max="1" width="29" style="4" customWidth="1"/>
    <col min="2" max="2" width="11.140625" style="4" customWidth="1"/>
    <col min="3" max="3" width="8.5703125" style="4" customWidth="1"/>
    <col min="4" max="4" width="7.140625" style="4" customWidth="1"/>
    <col min="5" max="5" width="9.42578125" style="4" customWidth="1"/>
    <col min="6" max="6" width="10" style="4" customWidth="1"/>
    <col min="7" max="7" width="8.5703125" style="4" customWidth="1"/>
    <col min="8" max="8" width="10.42578125" style="4" customWidth="1"/>
    <col min="9" max="9" width="8.5703125" style="4" customWidth="1"/>
    <col min="10" max="10" width="7.28515625" style="4" customWidth="1"/>
    <col min="11" max="11" width="8.7109375" style="4" customWidth="1"/>
    <col min="12" max="12" width="10.140625" style="4" customWidth="1"/>
    <col min="13" max="13" width="9.28515625" style="4" customWidth="1"/>
    <col min="14" max="14" width="11.140625" style="4" customWidth="1"/>
    <col min="15" max="15" width="8.5703125" style="4" customWidth="1"/>
    <col min="16" max="16" width="7.42578125" style="4" customWidth="1"/>
    <col min="17" max="17" width="8.5703125" style="4" customWidth="1"/>
    <col min="18" max="18" width="10.140625" style="4" customWidth="1"/>
    <col min="19" max="19" width="8.5703125" style="4" customWidth="1"/>
    <col min="20" max="20" width="11.42578125" style="4" customWidth="1"/>
    <col min="21" max="21" width="8.5703125" style="4" customWidth="1"/>
    <col min="22" max="22" width="7.5703125" style="4" customWidth="1"/>
    <col min="23" max="23" width="8.85546875" style="4" customWidth="1"/>
    <col min="24" max="24" width="9.85546875" style="4" customWidth="1"/>
    <col min="25" max="25" width="8.7109375" style="4" customWidth="1"/>
    <col min="26" max="26" width="11" style="4" customWidth="1"/>
    <col min="27" max="27" width="8.5703125" style="4" customWidth="1"/>
    <col min="28" max="28" width="7.42578125" style="4" customWidth="1"/>
    <col min="29" max="29" width="10" style="4" customWidth="1"/>
    <col min="30" max="30" width="10.28515625" style="4" customWidth="1"/>
    <col min="31" max="31" width="8.140625" style="4" customWidth="1"/>
    <col min="32" max="32" width="11.5703125" style="4" customWidth="1"/>
    <col min="33" max="33" width="15" style="4" bestFit="1" customWidth="1"/>
    <col min="34" max="34" width="38.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12.75" customHeight="1" x14ac:dyDescent="0.2">
      <c r="A1" s="827" t="s">
        <v>11</v>
      </c>
      <c r="B1" s="828"/>
      <c r="C1" s="828"/>
      <c r="D1" s="828"/>
      <c r="E1" s="828"/>
      <c r="F1" s="828"/>
      <c r="G1" s="828"/>
      <c r="H1" s="828"/>
      <c r="I1" s="828"/>
      <c r="J1" s="829"/>
      <c r="K1" s="833" t="s">
        <v>12</v>
      </c>
      <c r="L1" s="834"/>
      <c r="M1" s="834"/>
      <c r="N1" s="835"/>
      <c r="O1" s="778" t="s">
        <v>137</v>
      </c>
      <c r="P1" s="779"/>
      <c r="Q1" s="779"/>
      <c r="R1" s="779"/>
      <c r="S1" s="779"/>
      <c r="T1" s="779"/>
      <c r="U1" s="779"/>
      <c r="V1" s="779"/>
      <c r="W1" s="416"/>
      <c r="X1" s="417"/>
      <c r="Y1" s="220"/>
      <c r="Z1" s="220"/>
      <c r="AA1" s="220"/>
      <c r="AB1" s="220"/>
      <c r="AC1" s="220"/>
      <c r="AD1" s="220"/>
      <c r="AE1" s="220"/>
      <c r="AF1" s="220"/>
      <c r="AG1" s="221"/>
      <c r="AH1" s="199"/>
    </row>
    <row r="2" spans="1:62" ht="12" customHeight="1" x14ac:dyDescent="0.2">
      <c r="A2" s="830"/>
      <c r="B2" s="831"/>
      <c r="C2" s="831"/>
      <c r="D2" s="831"/>
      <c r="E2" s="831"/>
      <c r="F2" s="831"/>
      <c r="G2" s="831"/>
      <c r="H2" s="831"/>
      <c r="I2" s="831"/>
      <c r="J2" s="832"/>
      <c r="K2" s="222" t="s">
        <v>13</v>
      </c>
      <c r="L2" s="223"/>
      <c r="M2" s="625"/>
      <c r="N2" s="598">
        <f>N3/12</f>
        <v>18491.666666666668</v>
      </c>
      <c r="O2" s="781"/>
      <c r="P2" s="782"/>
      <c r="Q2" s="782"/>
      <c r="R2" s="782"/>
      <c r="S2" s="782"/>
      <c r="T2" s="782"/>
      <c r="U2" s="782"/>
      <c r="V2" s="782"/>
      <c r="W2" s="418"/>
      <c r="X2" s="419"/>
      <c r="Y2" s="224"/>
      <c r="Z2" s="224"/>
      <c r="AA2" s="224"/>
      <c r="AB2" s="224"/>
      <c r="AC2" s="224"/>
      <c r="AD2" s="224"/>
      <c r="AE2" s="224"/>
      <c r="AF2" s="224"/>
      <c r="AG2" s="225"/>
      <c r="AH2" s="200"/>
    </row>
    <row r="3" spans="1:62" ht="13.5" thickBot="1" x14ac:dyDescent="0.25">
      <c r="A3" s="830"/>
      <c r="B3" s="831"/>
      <c r="C3" s="831"/>
      <c r="D3" s="831"/>
      <c r="E3" s="831"/>
      <c r="F3" s="831"/>
      <c r="G3" s="831"/>
      <c r="H3" s="831"/>
      <c r="I3" s="831"/>
      <c r="J3" s="832"/>
      <c r="K3" s="226" t="s">
        <v>14</v>
      </c>
      <c r="L3" s="227"/>
      <c r="M3" s="625"/>
      <c r="N3" s="599">
        <v>221900</v>
      </c>
      <c r="O3" s="781"/>
      <c r="P3" s="782"/>
      <c r="Q3" s="782"/>
      <c r="R3" s="782"/>
      <c r="S3" s="782"/>
      <c r="T3" s="782"/>
      <c r="U3" s="782"/>
      <c r="V3" s="782"/>
      <c r="W3" s="418"/>
      <c r="X3" s="419"/>
      <c r="Y3" s="224"/>
      <c r="Z3" s="224"/>
      <c r="AA3" s="224"/>
      <c r="AB3" s="224"/>
      <c r="AC3" s="224"/>
      <c r="AD3" s="224"/>
      <c r="AE3" s="224"/>
      <c r="AF3" s="224"/>
      <c r="AG3" s="225"/>
      <c r="AH3" s="200"/>
    </row>
    <row r="4" spans="1:62" s="5" customFormat="1" ht="12.75" customHeight="1" thickBot="1" x14ac:dyDescent="0.25">
      <c r="A4" s="230" t="s">
        <v>15</v>
      </c>
      <c r="B4" s="100"/>
      <c r="C4" s="101"/>
      <c r="D4" s="102"/>
      <c r="E4" s="102"/>
      <c r="F4" s="102"/>
      <c r="G4" s="102"/>
      <c r="H4" s="101"/>
      <c r="I4" s="101"/>
      <c r="J4" s="101"/>
      <c r="K4" s="734" t="s">
        <v>16</v>
      </c>
      <c r="L4" s="735"/>
      <c r="M4" s="735"/>
      <c r="N4" s="736"/>
      <c r="O4" s="784"/>
      <c r="P4" s="785"/>
      <c r="Q4" s="785"/>
      <c r="R4" s="785"/>
      <c r="S4" s="785"/>
      <c r="T4" s="785"/>
      <c r="U4" s="785"/>
      <c r="V4" s="785"/>
      <c r="W4" s="418"/>
      <c r="X4" s="419"/>
      <c r="Y4" s="228"/>
      <c r="Z4" s="228"/>
      <c r="AA4" s="228"/>
      <c r="AB4" s="228"/>
      <c r="AC4" s="228"/>
      <c r="AD4" s="228"/>
      <c r="AE4" s="228"/>
      <c r="AF4" s="228"/>
      <c r="AG4" s="229"/>
      <c r="AH4" s="201"/>
      <c r="AI4" s="60"/>
      <c r="AJ4" s="60"/>
      <c r="AK4" s="61"/>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x14ac:dyDescent="0.2">
      <c r="A5" s="230" t="s">
        <v>17</v>
      </c>
      <c r="B5" s="100"/>
      <c r="C5" s="103"/>
      <c r="D5" s="104"/>
      <c r="E5" s="104"/>
      <c r="F5" s="104"/>
      <c r="G5" s="104"/>
      <c r="H5" s="103"/>
      <c r="I5" s="103"/>
      <c r="J5" s="103"/>
      <c r="K5" s="233" t="s">
        <v>18</v>
      </c>
      <c r="L5" s="234"/>
      <c r="M5" s="234"/>
      <c r="N5" s="235">
        <v>0.28599999999999998</v>
      </c>
      <c r="O5" s="418"/>
      <c r="P5" s="417"/>
      <c r="Q5" s="419"/>
      <c r="R5" s="419"/>
      <c r="S5" s="419"/>
      <c r="T5" s="419"/>
      <c r="U5" s="419"/>
      <c r="V5" s="419"/>
      <c r="W5" s="419"/>
      <c r="X5" s="419"/>
      <c r="Y5" s="228"/>
      <c r="Z5" s="228"/>
      <c r="AA5" s="228"/>
      <c r="AB5" s="228"/>
      <c r="AC5" s="228"/>
      <c r="AD5" s="228"/>
      <c r="AE5" s="228"/>
      <c r="AF5" s="228"/>
      <c r="AG5" s="229"/>
      <c r="AH5" s="201"/>
      <c r="AI5" s="60"/>
      <c r="AJ5" s="60"/>
      <c r="AK5" s="61"/>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x14ac:dyDescent="0.2">
      <c r="A6" s="230" t="s">
        <v>19</v>
      </c>
      <c r="B6" s="100"/>
      <c r="C6" s="103"/>
      <c r="D6" s="104"/>
      <c r="E6" s="104"/>
      <c r="F6" s="104"/>
      <c r="G6" s="104"/>
      <c r="H6" s="103"/>
      <c r="I6" s="103"/>
      <c r="J6" s="103"/>
      <c r="K6" s="237" t="s">
        <v>155</v>
      </c>
      <c r="L6" s="238"/>
      <c r="M6" s="238"/>
      <c r="N6" s="235">
        <v>0.22</v>
      </c>
      <c r="O6" s="224"/>
      <c r="P6" s="231"/>
      <c r="Q6" s="231"/>
      <c r="R6" s="231"/>
      <c r="S6" s="232"/>
      <c r="T6" s="236"/>
      <c r="U6" s="236"/>
      <c r="V6" s="236"/>
      <c r="W6" s="236"/>
      <c r="X6" s="228"/>
      <c r="Y6" s="228"/>
      <c r="Z6" s="228"/>
      <c r="AA6" s="228"/>
      <c r="AB6" s="228"/>
      <c r="AC6" s="228"/>
      <c r="AD6" s="228"/>
      <c r="AE6" s="228"/>
      <c r="AF6" s="228"/>
      <c r="AG6" s="229"/>
      <c r="AH6" s="201"/>
      <c r="AI6" s="60"/>
      <c r="AJ6" s="60"/>
      <c r="AK6" s="61"/>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x14ac:dyDescent="0.2">
      <c r="A7" s="239" t="s">
        <v>21</v>
      </c>
      <c r="B7" s="105"/>
      <c r="C7" s="103"/>
      <c r="D7" s="104"/>
      <c r="E7" s="104"/>
      <c r="F7" s="104"/>
      <c r="G7" s="104"/>
      <c r="H7" s="103"/>
      <c r="I7" s="103"/>
      <c r="J7" s="103"/>
      <c r="K7" s="240" t="s">
        <v>22</v>
      </c>
      <c r="L7" s="241"/>
      <c r="M7" s="241"/>
      <c r="N7" s="235">
        <v>0.05</v>
      </c>
      <c r="O7" s="224"/>
      <c r="P7" s="224"/>
      <c r="Q7" s="224"/>
      <c r="R7" s="224"/>
      <c r="S7" s="228"/>
      <c r="T7" s="228"/>
      <c r="U7" s="228"/>
      <c r="V7" s="228"/>
      <c r="W7" s="228"/>
      <c r="X7" s="242"/>
      <c r="Y7" s="228"/>
      <c r="Z7" s="228"/>
      <c r="AA7" s="228"/>
      <c r="AB7" s="228"/>
      <c r="AC7" s="228"/>
      <c r="AD7" s="228"/>
      <c r="AE7" s="228"/>
      <c r="AF7" s="228"/>
      <c r="AG7" s="229"/>
      <c r="AH7" s="201"/>
      <c r="AI7" s="60"/>
      <c r="AJ7" s="60"/>
      <c r="AK7" s="61"/>
      <c r="AL7" s="1"/>
      <c r="AM7" s="2"/>
      <c r="AN7" s="3"/>
      <c r="AO7" s="4"/>
      <c r="AP7" s="4"/>
      <c r="AQ7" s="4"/>
      <c r="AR7" s="4"/>
      <c r="AS7" s="4"/>
      <c r="AT7" s="4"/>
      <c r="AU7" s="4"/>
      <c r="AV7" s="4"/>
      <c r="AW7" s="4"/>
      <c r="AX7" s="4"/>
      <c r="AY7" s="4"/>
      <c r="AZ7" s="4"/>
      <c r="BA7" s="4"/>
      <c r="BB7" s="4"/>
      <c r="BC7" s="4"/>
      <c r="BD7" s="4"/>
      <c r="BE7" s="4"/>
      <c r="BF7" s="4"/>
      <c r="BG7" s="4"/>
      <c r="BH7" s="4"/>
      <c r="BI7" s="4"/>
      <c r="BJ7" s="4"/>
    </row>
    <row r="8" spans="1:62" s="5" customFormat="1" ht="14.25" customHeight="1" thickBot="1" x14ac:dyDescent="0.25">
      <c r="A8" s="230" t="s">
        <v>23</v>
      </c>
      <c r="B8" s="105"/>
      <c r="C8" s="103"/>
      <c r="D8" s="104"/>
      <c r="E8" s="104"/>
      <c r="F8" s="104"/>
      <c r="G8" s="104"/>
      <c r="H8" s="103"/>
      <c r="I8" s="103"/>
      <c r="J8" s="103"/>
      <c r="K8" s="243" t="s">
        <v>156</v>
      </c>
      <c r="L8" s="244"/>
      <c r="M8" s="244"/>
      <c r="N8" s="245">
        <v>0.11</v>
      </c>
      <c r="O8" s="224"/>
      <c r="P8" s="224"/>
      <c r="Q8" s="224"/>
      <c r="R8" s="224"/>
      <c r="S8" s="228"/>
      <c r="T8" s="228"/>
      <c r="U8" s="228"/>
      <c r="V8" s="228"/>
      <c r="W8" s="228"/>
      <c r="X8" s="228"/>
      <c r="Y8" s="228"/>
      <c r="Z8" s="228"/>
      <c r="AA8" s="228"/>
      <c r="AB8" s="228"/>
      <c r="AC8" s="228"/>
      <c r="AD8" s="228"/>
      <c r="AE8" s="228"/>
      <c r="AF8" s="228"/>
      <c r="AG8" s="229"/>
      <c r="AH8" s="201"/>
      <c r="AI8" s="60"/>
      <c r="AJ8" s="60"/>
      <c r="AK8" s="61"/>
      <c r="AL8" s="1"/>
      <c r="AM8" s="2"/>
      <c r="AN8" s="3"/>
      <c r="AO8" s="4"/>
      <c r="AP8" s="4"/>
      <c r="AQ8" s="4"/>
      <c r="AR8" s="4"/>
      <c r="AS8" s="4"/>
      <c r="AT8" s="4"/>
      <c r="AU8" s="4"/>
      <c r="AV8" s="4"/>
      <c r="AW8" s="4"/>
      <c r="AX8" s="4"/>
      <c r="AY8" s="4"/>
      <c r="AZ8" s="4"/>
      <c r="BA8" s="4"/>
      <c r="BB8" s="4"/>
      <c r="BC8" s="4"/>
      <c r="BD8" s="4"/>
      <c r="BE8" s="4"/>
      <c r="BF8" s="4"/>
      <c r="BG8" s="4"/>
      <c r="BH8" s="4"/>
      <c r="BI8" s="4"/>
      <c r="BJ8" s="4"/>
    </row>
    <row r="9" spans="1:62" s="6" customFormat="1" ht="15" customHeight="1" thickBot="1" x14ac:dyDescent="0.25">
      <c r="A9" s="230" t="s">
        <v>25</v>
      </c>
      <c r="B9" s="106"/>
      <c r="C9" s="103"/>
      <c r="D9" s="103"/>
      <c r="E9" s="103"/>
      <c r="F9" s="104"/>
      <c r="G9" s="104"/>
      <c r="H9" s="103"/>
      <c r="I9" s="103"/>
      <c r="J9" s="103"/>
      <c r="K9" s="246" t="s">
        <v>26</v>
      </c>
      <c r="L9" s="247"/>
      <c r="M9" s="247"/>
      <c r="N9" s="414">
        <v>0.38500000000000001</v>
      </c>
      <c r="O9" s="225"/>
      <c r="P9" s="225"/>
      <c r="Q9" s="225"/>
      <c r="R9" s="225"/>
      <c r="S9" s="248"/>
      <c r="T9" s="248"/>
      <c r="U9" s="248"/>
      <c r="V9" s="248"/>
      <c r="W9" s="248"/>
      <c r="X9" s="225"/>
      <c r="Y9" s="225"/>
      <c r="Z9" s="225"/>
      <c r="AA9" s="225"/>
      <c r="AB9" s="225"/>
      <c r="AC9" s="225"/>
      <c r="AD9" s="225"/>
      <c r="AE9" s="225"/>
      <c r="AF9" s="225"/>
      <c r="AG9" s="225"/>
      <c r="AH9" s="202"/>
      <c r="AI9" s="7"/>
      <c r="AJ9" s="7"/>
      <c r="AK9" s="8"/>
      <c r="AL9" s="9"/>
      <c r="AM9" s="10"/>
      <c r="AN9" s="7"/>
      <c r="AO9" s="7"/>
      <c r="AP9" s="7"/>
      <c r="AQ9" s="7"/>
      <c r="AR9" s="7"/>
      <c r="AS9" s="7"/>
      <c r="AT9" s="7"/>
      <c r="AU9" s="7"/>
      <c r="AV9" s="7"/>
      <c r="AW9" s="7"/>
      <c r="AX9" s="7"/>
      <c r="AY9" s="7"/>
      <c r="AZ9" s="7"/>
      <c r="BA9" s="7"/>
      <c r="BB9" s="7"/>
      <c r="BC9" s="7"/>
      <c r="BD9" s="7"/>
      <c r="BE9" s="7"/>
      <c r="BF9" s="7"/>
      <c r="BG9" s="7"/>
      <c r="BH9" s="7"/>
      <c r="BI9" s="7"/>
      <c r="BJ9" s="7"/>
    </row>
    <row r="10" spans="1:62" x14ac:dyDescent="0.2">
      <c r="A10" s="249" t="s">
        <v>27</v>
      </c>
      <c r="B10" s="129"/>
      <c r="C10" s="250"/>
      <c r="D10" s="250"/>
      <c r="E10" s="250"/>
      <c r="F10" s="250"/>
      <c r="G10" s="250"/>
      <c r="H10" s="225"/>
      <c r="I10" s="225"/>
      <c r="J10" s="225"/>
      <c r="K10" s="241" t="s">
        <v>199</v>
      </c>
      <c r="L10" s="241"/>
      <c r="M10" s="241"/>
      <c r="N10" s="241"/>
      <c r="O10" s="241"/>
      <c r="P10" s="228"/>
      <c r="Q10" s="228"/>
      <c r="R10" s="228"/>
      <c r="S10" s="241"/>
      <c r="T10" s="228"/>
      <c r="U10" s="228"/>
      <c r="V10" s="241"/>
      <c r="W10" s="241"/>
      <c r="X10" s="224"/>
      <c r="Y10" s="224"/>
      <c r="Z10" s="224"/>
      <c r="AA10" s="224"/>
      <c r="AB10" s="224"/>
      <c r="AC10" s="224"/>
      <c r="AD10" s="224"/>
      <c r="AE10" s="224"/>
      <c r="AF10" s="224"/>
      <c r="AG10" s="225"/>
      <c r="AH10" s="203"/>
    </row>
    <row r="11" spans="1:62" x14ac:dyDescent="0.2">
      <c r="A11" s="251" t="s">
        <v>28</v>
      </c>
      <c r="B11" s="103"/>
      <c r="C11" s="252"/>
      <c r="D11" s="225"/>
      <c r="E11" s="225"/>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5"/>
      <c r="AH11" s="203"/>
    </row>
    <row r="12" spans="1:62" x14ac:dyDescent="0.2">
      <c r="A12" s="743" t="s">
        <v>29</v>
      </c>
      <c r="B12" s="794"/>
      <c r="C12" s="109"/>
      <c r="D12" s="224"/>
      <c r="E12" s="224"/>
      <c r="F12" s="253" t="s">
        <v>30</v>
      </c>
      <c r="G12" s="109"/>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03"/>
    </row>
    <row r="13" spans="1:62" x14ac:dyDescent="0.2">
      <c r="A13" s="254"/>
      <c r="B13" s="255"/>
      <c r="C13" s="255"/>
      <c r="D13" s="255"/>
      <c r="E13" s="255"/>
      <c r="F13" s="255"/>
      <c r="G13" s="256" t="s">
        <v>31</v>
      </c>
      <c r="H13" s="110">
        <v>0</v>
      </c>
      <c r="I13" s="225"/>
      <c r="J13" s="225"/>
      <c r="K13" s="225"/>
      <c r="L13" s="805" t="s">
        <v>32</v>
      </c>
      <c r="M13" s="822"/>
      <c r="N13" s="110">
        <v>0</v>
      </c>
      <c r="O13" s="225"/>
      <c r="P13" s="225"/>
      <c r="Q13" s="225"/>
      <c r="R13" s="805" t="s">
        <v>33</v>
      </c>
      <c r="S13" s="822"/>
      <c r="T13" s="110">
        <f>N13</f>
        <v>0</v>
      </c>
      <c r="U13" s="225"/>
      <c r="V13" s="225"/>
      <c r="W13" s="225"/>
      <c r="X13" s="805" t="s">
        <v>34</v>
      </c>
      <c r="Y13" s="822"/>
      <c r="Z13" s="110">
        <f>T13</f>
        <v>0</v>
      </c>
      <c r="AA13" s="225"/>
      <c r="AB13" s="225"/>
      <c r="AC13" s="225"/>
      <c r="AD13" s="805" t="s">
        <v>35</v>
      </c>
      <c r="AE13" s="822"/>
      <c r="AF13" s="110">
        <f>Z13</f>
        <v>0</v>
      </c>
      <c r="AG13" s="225"/>
      <c r="AH13" s="200"/>
    </row>
    <row r="14" spans="1:62" ht="13.5" thickBot="1" x14ac:dyDescent="0.25">
      <c r="A14" s="716" t="s">
        <v>36</v>
      </c>
      <c r="B14" s="444"/>
      <c r="C14" s="695" t="s">
        <v>37</v>
      </c>
      <c r="D14" s="695"/>
      <c r="E14" s="695"/>
      <c r="F14" s="695"/>
      <c r="G14" s="695"/>
      <c r="H14" s="695"/>
      <c r="I14" s="695" t="s">
        <v>38</v>
      </c>
      <c r="J14" s="695"/>
      <c r="K14" s="695"/>
      <c r="L14" s="695"/>
      <c r="M14" s="695"/>
      <c r="N14" s="695"/>
      <c r="O14" s="695" t="s">
        <v>39</v>
      </c>
      <c r="P14" s="695"/>
      <c r="Q14" s="695"/>
      <c r="R14" s="695"/>
      <c r="S14" s="695"/>
      <c r="T14" s="695"/>
      <c r="U14" s="695" t="s">
        <v>40</v>
      </c>
      <c r="V14" s="695"/>
      <c r="W14" s="695"/>
      <c r="X14" s="695"/>
      <c r="Y14" s="695"/>
      <c r="Z14" s="695"/>
      <c r="AA14" s="695" t="s">
        <v>41</v>
      </c>
      <c r="AB14" s="695"/>
      <c r="AC14" s="695"/>
      <c r="AD14" s="695"/>
      <c r="AE14" s="695"/>
      <c r="AF14" s="695"/>
      <c r="AG14" s="354"/>
      <c r="AH14" s="200"/>
    </row>
    <row r="15" spans="1:62" ht="15.75" customHeight="1" x14ac:dyDescent="0.2">
      <c r="A15" s="716"/>
      <c r="B15" s="717" t="s">
        <v>188</v>
      </c>
      <c r="C15" s="719" t="s">
        <v>42</v>
      </c>
      <c r="D15" s="823" t="s">
        <v>43</v>
      </c>
      <c r="E15" s="813" t="s">
        <v>189</v>
      </c>
      <c r="F15" s="823" t="s">
        <v>44</v>
      </c>
      <c r="G15" s="706" t="s">
        <v>45</v>
      </c>
      <c r="H15" s="702" t="s">
        <v>46</v>
      </c>
      <c r="I15" s="825" t="s">
        <v>42</v>
      </c>
      <c r="J15" s="823" t="s">
        <v>43</v>
      </c>
      <c r="K15" s="813" t="s">
        <v>190</v>
      </c>
      <c r="L15" s="823" t="s">
        <v>44</v>
      </c>
      <c r="M15" s="706" t="s">
        <v>45</v>
      </c>
      <c r="N15" s="702" t="s">
        <v>46</v>
      </c>
      <c r="O15" s="825" t="s">
        <v>42</v>
      </c>
      <c r="P15" s="823" t="s">
        <v>43</v>
      </c>
      <c r="Q15" s="813" t="s">
        <v>191</v>
      </c>
      <c r="R15" s="823" t="s">
        <v>44</v>
      </c>
      <c r="S15" s="706" t="s">
        <v>45</v>
      </c>
      <c r="T15" s="702" t="s">
        <v>46</v>
      </c>
      <c r="U15" s="825" t="s">
        <v>42</v>
      </c>
      <c r="V15" s="823" t="s">
        <v>43</v>
      </c>
      <c r="W15" s="813" t="s">
        <v>192</v>
      </c>
      <c r="X15" s="823" t="s">
        <v>44</v>
      </c>
      <c r="Y15" s="706" t="s">
        <v>45</v>
      </c>
      <c r="Z15" s="702" t="s">
        <v>46</v>
      </c>
      <c r="AA15" s="825" t="s">
        <v>42</v>
      </c>
      <c r="AB15" s="823" t="s">
        <v>43</v>
      </c>
      <c r="AC15" s="813" t="s">
        <v>193</v>
      </c>
      <c r="AD15" s="823" t="s">
        <v>44</v>
      </c>
      <c r="AE15" s="706" t="s">
        <v>45</v>
      </c>
      <c r="AF15" s="702" t="s">
        <v>46</v>
      </c>
      <c r="AG15" s="700" t="s">
        <v>47</v>
      </c>
      <c r="AH15" s="204"/>
      <c r="AK15" s="4"/>
      <c r="AL15" s="4"/>
      <c r="AM15" s="4"/>
    </row>
    <row r="16" spans="1:62" s="11" customFormat="1" x14ac:dyDescent="0.2">
      <c r="A16" s="443" t="s">
        <v>48</v>
      </c>
      <c r="B16" s="718"/>
      <c r="C16" s="720"/>
      <c r="D16" s="824"/>
      <c r="E16" s="814"/>
      <c r="F16" s="824"/>
      <c r="G16" s="707"/>
      <c r="H16" s="703"/>
      <c r="I16" s="826"/>
      <c r="J16" s="824"/>
      <c r="K16" s="814"/>
      <c r="L16" s="824"/>
      <c r="M16" s="707"/>
      <c r="N16" s="703"/>
      <c r="O16" s="826"/>
      <c r="P16" s="824"/>
      <c r="Q16" s="814"/>
      <c r="R16" s="824"/>
      <c r="S16" s="707"/>
      <c r="T16" s="703"/>
      <c r="U16" s="826"/>
      <c r="V16" s="824"/>
      <c r="W16" s="814"/>
      <c r="X16" s="824"/>
      <c r="Y16" s="707"/>
      <c r="Z16" s="703"/>
      <c r="AA16" s="826"/>
      <c r="AB16" s="824"/>
      <c r="AC16" s="814"/>
      <c r="AD16" s="824"/>
      <c r="AE16" s="707"/>
      <c r="AF16" s="703"/>
      <c r="AG16" s="701"/>
      <c r="AH16" s="205"/>
    </row>
    <row r="17" spans="1:38" x14ac:dyDescent="0.2">
      <c r="A17" s="442" t="s">
        <v>49</v>
      </c>
      <c r="B17" s="718"/>
      <c r="C17" s="720"/>
      <c r="D17" s="824"/>
      <c r="E17" s="814"/>
      <c r="F17" s="824"/>
      <c r="G17" s="707"/>
      <c r="H17" s="703"/>
      <c r="I17" s="826"/>
      <c r="J17" s="824"/>
      <c r="K17" s="814"/>
      <c r="L17" s="824"/>
      <c r="M17" s="707"/>
      <c r="N17" s="703"/>
      <c r="O17" s="826"/>
      <c r="P17" s="824"/>
      <c r="Q17" s="814"/>
      <c r="R17" s="824"/>
      <c r="S17" s="707"/>
      <c r="T17" s="703"/>
      <c r="U17" s="826"/>
      <c r="V17" s="824"/>
      <c r="W17" s="814"/>
      <c r="X17" s="824"/>
      <c r="Y17" s="707"/>
      <c r="Z17" s="703"/>
      <c r="AA17" s="826"/>
      <c r="AB17" s="824"/>
      <c r="AC17" s="814"/>
      <c r="AD17" s="824"/>
      <c r="AE17" s="707"/>
      <c r="AF17" s="703"/>
      <c r="AG17" s="701"/>
      <c r="AH17" s="202" t="s">
        <v>50</v>
      </c>
    </row>
    <row r="18" spans="1:38" x14ac:dyDescent="0.2">
      <c r="A18" s="111" t="s">
        <v>51</v>
      </c>
      <c r="B18" s="130"/>
      <c r="C18" s="131"/>
      <c r="D18" s="642">
        <f>9*C18</f>
        <v>0</v>
      </c>
      <c r="E18" s="638">
        <f>B18*(1+$H$13)</f>
        <v>0</v>
      </c>
      <c r="F18" s="175">
        <f>IF(($B18*(1+$H$13))&gt;=($N$2*9),ROUND(($N$2*9)*C18,0),ROUND(($C18*$B18*(1+$H$13)),0))</f>
        <v>0</v>
      </c>
      <c r="G18" s="175">
        <f>ROUND(F18*$N$5,0)</f>
        <v>0</v>
      </c>
      <c r="H18" s="176">
        <f t="shared" ref="H18:H28" si="0">ROUND(SUM(F18:G18),0)</f>
        <v>0</v>
      </c>
      <c r="I18" s="131"/>
      <c r="J18" s="642">
        <f>9*I18</f>
        <v>0</v>
      </c>
      <c r="K18" s="638">
        <f>IF($B$10&gt;1,B18*(1+$H$13)*(1+$N$13),0)</f>
        <v>0</v>
      </c>
      <c r="L18" s="175">
        <f>IF(($B18*(1+$H$13)*(1+$N$13))&gt;=($N$2*9),ROUND(($N$2*9)*I18,0),ROUND(($I18*$B18*(1+$H$13)*(1+$N$13)),0))</f>
        <v>0</v>
      </c>
      <c r="M18" s="175">
        <f>ROUND(L18*$N$5,0)</f>
        <v>0</v>
      </c>
      <c r="N18" s="176">
        <f t="shared" ref="N18:N28" si="1">ROUND(SUM(L18:M18),0)</f>
        <v>0</v>
      </c>
      <c r="O18" s="131"/>
      <c r="P18" s="642">
        <f>9*O18</f>
        <v>0</v>
      </c>
      <c r="Q18" s="638">
        <f>IF($B$10&gt;2,B18*(1+$H$13)*(1+$N$13)*(1+$T$13),0)</f>
        <v>0</v>
      </c>
      <c r="R18" s="175">
        <f>IF(($B18*(1+$H$13)*(1+$N$13)*(1+$T$13))&gt;=($N$2*9),ROUND(($N$2*9)*O18,0),ROUND(($O18*$B18*(1+$H$13)*(1+$N$13)*(1+$T$13)),0))</f>
        <v>0</v>
      </c>
      <c r="S18" s="175">
        <f>ROUND(R18*$N$5,0)</f>
        <v>0</v>
      </c>
      <c r="T18" s="176">
        <f t="shared" ref="T18:T28" si="2">ROUND(SUM(R18:S18),0)</f>
        <v>0</v>
      </c>
      <c r="U18" s="131"/>
      <c r="V18" s="642">
        <f>9*U18</f>
        <v>0</v>
      </c>
      <c r="W18" s="638">
        <f>IF($B$10&gt;3,B18*(1+$H$13)*(1+$N$13)*(1+$T$13)*(1+$Z$13),0)</f>
        <v>0</v>
      </c>
      <c r="X18" s="175">
        <f>IF(($B18*(1+$H$13)*(1+$N$13)*(1+$T$13)*(1+$Z$13))&gt;=($N$2*9),ROUND(($N$2*9)*U18,0),ROUND(($U18*$B18*(1+$H$13)*(1+$N$13)*(1+$T$13)*(1+$Z$13)),0))</f>
        <v>0</v>
      </c>
      <c r="Y18" s="175">
        <f>ROUND(X18*$N$5,0)</f>
        <v>0</v>
      </c>
      <c r="Z18" s="176">
        <f t="shared" ref="Z18:Z28" si="3">ROUND(SUM(X18:Y18),0)</f>
        <v>0</v>
      </c>
      <c r="AA18" s="131"/>
      <c r="AB18" s="642">
        <f>9*AA18</f>
        <v>0</v>
      </c>
      <c r="AC18" s="638">
        <f>IF($B$10&gt;4,B18*(1+$H$13)*(1+$N$13)*(1+$T$13)*(1+$Z$13)*(1+$AF$13),0)</f>
        <v>0</v>
      </c>
      <c r="AD18" s="175">
        <f>IF(($B18*(1+$H$13)*(1+$N$13)*(1+$T$13)*(1+$Z$13)*(1+$AF$13))&gt;=($N$2*9),ROUND(($N$2*9)*AA18,0),ROUND(($AA18*$B18*(1+$H$13)*(1+$N$13)*(1+$T$13)*(1+$Z$13)*(1+$AF$13)),0))</f>
        <v>0</v>
      </c>
      <c r="AE18" s="175">
        <f>ROUND(AD18*$N$5,0)</f>
        <v>0</v>
      </c>
      <c r="AF18" s="176">
        <f t="shared" ref="AF18:AF28" si="4">ROUND(SUM(AD18:AE18),0)</f>
        <v>0</v>
      </c>
      <c r="AG18" s="145">
        <f t="shared" ref="AG18:AG28" si="5">ROUND(SUM(H18,N18,T18,Z18,AF18),0)</f>
        <v>0</v>
      </c>
      <c r="AH18" s="206" t="s">
        <v>51</v>
      </c>
    </row>
    <row r="19" spans="1:38" x14ac:dyDescent="0.2">
      <c r="A19" s="113" t="s">
        <v>52</v>
      </c>
      <c r="B19" s="383">
        <f>B18/9*3</f>
        <v>0</v>
      </c>
      <c r="C19" s="132"/>
      <c r="D19" s="642">
        <f>3*C19</f>
        <v>0</v>
      </c>
      <c r="E19" s="638">
        <f>B19*(1+$H$13)</f>
        <v>0</v>
      </c>
      <c r="F19" s="175">
        <f>IF(($B19*(1+$H$13))&gt;=($N$2*3),ROUND(($N$2*3)*C19,0),ROUND(($C19*$B19*(1+$H$13)),0))</f>
        <v>0</v>
      </c>
      <c r="G19" s="175">
        <f>ROUND(F19*$N$8,0)</f>
        <v>0</v>
      </c>
      <c r="H19" s="176">
        <f t="shared" si="0"/>
        <v>0</v>
      </c>
      <c r="I19" s="132"/>
      <c r="J19" s="642">
        <f>3*I19</f>
        <v>0</v>
      </c>
      <c r="K19" s="638">
        <f t="shared" ref="K19:K28" si="6">IF($B$10&gt;1,B19*(1+$H$13)*(1+$N$13),0)</f>
        <v>0</v>
      </c>
      <c r="L19" s="175">
        <f>IF(($B19*(1+$H$13)*(1+$N$13))&gt;=($N$2*3),ROUND(($N$2*3)*I19,0),ROUND(($I19*$B19*(1+$H$13)*(1+$N$13)),0))</f>
        <v>0</v>
      </c>
      <c r="M19" s="175">
        <f>ROUND(L19*$N$8,0)</f>
        <v>0</v>
      </c>
      <c r="N19" s="176">
        <f>ROUND(SUM(L19:M19),0)</f>
        <v>0</v>
      </c>
      <c r="O19" s="132"/>
      <c r="P19" s="642">
        <f>3*O19</f>
        <v>0</v>
      </c>
      <c r="Q19" s="638">
        <f t="shared" ref="Q19:Q28" si="7">IF($B$10&gt;2,B19*(1+$H$13)*(1+$N$13)*(1+$T$13),0)</f>
        <v>0</v>
      </c>
      <c r="R19" s="175">
        <f>IF(($B19*(1+$H$13)*(1+$N$13)*(1+$T$13))&gt;=($N$2*3),ROUND(($N$2*3)*O19,0),ROUND(($O19*$B19*(1+$H$13)*(1+$N$13)*(1+$T$13)),0))</f>
        <v>0</v>
      </c>
      <c r="S19" s="175">
        <f>ROUND(R19*$N$8,0)</f>
        <v>0</v>
      </c>
      <c r="T19" s="176">
        <f t="shared" si="2"/>
        <v>0</v>
      </c>
      <c r="U19" s="132"/>
      <c r="V19" s="642">
        <f>3*U19</f>
        <v>0</v>
      </c>
      <c r="W19" s="638">
        <f t="shared" ref="W19:W28" si="8">IF($B$10&gt;3,B19*(1+$H$13)*(1+$N$13)*(1+$T$13)*(1+$Z$13),0)</f>
        <v>0</v>
      </c>
      <c r="X19" s="175">
        <f>IF(($B19*(1+$H$13)*(1+$N$13)*(1+$T$13)*(1+$Z$13))&gt;=($N$2*3),ROUND(($N$2*3)*U19,0),ROUND(($U19*$B19*(1+$H$13)*(1+$N$13)*(1+$T$13)*(1+$Z$13)),0))</f>
        <v>0</v>
      </c>
      <c r="Y19" s="175">
        <f>ROUND(X19*$N$8,0)</f>
        <v>0</v>
      </c>
      <c r="Z19" s="176">
        <f t="shared" si="3"/>
        <v>0</v>
      </c>
      <c r="AA19" s="132"/>
      <c r="AB19" s="642">
        <f>3*AA19</f>
        <v>0</v>
      </c>
      <c r="AC19" s="638">
        <f t="shared" ref="AC19:AC28" si="9">IF($B$10&gt;4,B19*(1+$H$13)*(1+$N$13)*(1+$T$13)*(1+$Z$13)*(1+$AF$13),0)</f>
        <v>0</v>
      </c>
      <c r="AD19" s="175">
        <f>IF(($B19*(1+$H$13)*(1+$N$13)*(1+$T$13)*(1+$Z$13)*(1+$AF$13))&gt;=($N$2*3),ROUND(($N$2*3)*AA19,0),ROUND(($AA19*$B19*(1+$H$13)*(1+$N$13)*(1+$T$13)*(1+$Z$13)*(1+$AF$13)),0))</f>
        <v>0</v>
      </c>
      <c r="AE19" s="175">
        <f>ROUND(AD19*$N$8,0)</f>
        <v>0</v>
      </c>
      <c r="AF19" s="176">
        <f t="shared" si="4"/>
        <v>0</v>
      </c>
      <c r="AG19" s="145">
        <f t="shared" si="5"/>
        <v>0</v>
      </c>
      <c r="AH19" s="206" t="s">
        <v>52</v>
      </c>
    </row>
    <row r="20" spans="1:38" x14ac:dyDescent="0.2">
      <c r="A20" s="113" t="s">
        <v>53</v>
      </c>
      <c r="B20" s="133"/>
      <c r="C20" s="132"/>
      <c r="D20" s="642">
        <f>10*C20</f>
        <v>0</v>
      </c>
      <c r="E20" s="638">
        <f>B20*(1+$H$13)</f>
        <v>0</v>
      </c>
      <c r="F20" s="175">
        <f>IF(($B20*(1+$H$13))&gt;=($N$2*10),ROUND(($N$2*10)*C20,0),ROUND(($C20*$B20*(1+$H$13)),0))</f>
        <v>0</v>
      </c>
      <c r="G20" s="175">
        <f>ROUND(F20*$N$5,0)</f>
        <v>0</v>
      </c>
      <c r="H20" s="176">
        <f t="shared" si="0"/>
        <v>0</v>
      </c>
      <c r="I20" s="132"/>
      <c r="J20" s="642">
        <f>10*I20</f>
        <v>0</v>
      </c>
      <c r="K20" s="638">
        <f t="shared" si="6"/>
        <v>0</v>
      </c>
      <c r="L20" s="175">
        <f>IF(($B20*(1+$H$13)*(1+$N$13))&gt;=($N$2*10),ROUND(($N$2*10)*I20,0),ROUND(($I20*$B20*(1+$H$13)*(1+$N$13)),0))</f>
        <v>0</v>
      </c>
      <c r="M20" s="175">
        <f>ROUND(L20*$N$5,0)</f>
        <v>0</v>
      </c>
      <c r="N20" s="176">
        <f t="shared" si="1"/>
        <v>0</v>
      </c>
      <c r="O20" s="132"/>
      <c r="P20" s="642">
        <f>10*O20</f>
        <v>0</v>
      </c>
      <c r="Q20" s="638">
        <f t="shared" si="7"/>
        <v>0</v>
      </c>
      <c r="R20" s="175">
        <f>IF(($B20*(1+$H$13)*(1+$N$13)*(1+$T$13))&gt;=($N$2*9),ROUND(($N$2*9)*O20,0),ROUND(($O20*$B20*(1+$H$13)*(1+$N$13)*(1+$T$13)),0))</f>
        <v>0</v>
      </c>
      <c r="S20" s="175">
        <f>ROUND(R20*$N$5,0)</f>
        <v>0</v>
      </c>
      <c r="T20" s="176">
        <f t="shared" si="2"/>
        <v>0</v>
      </c>
      <c r="U20" s="132"/>
      <c r="V20" s="642">
        <f>10*U20</f>
        <v>0</v>
      </c>
      <c r="W20" s="638">
        <f t="shared" si="8"/>
        <v>0</v>
      </c>
      <c r="X20" s="175">
        <f>IF(($B20*(1+$H$13)*(1+$N$13)*(1+$T$13)*(1+$Z$13))&gt;=($N$2*9),ROUND(($N$2*9)*U20,0),ROUND(($U20*$B20*(1+$H$13)*(1+$N$13)*(1+$T$13)*(1+$Z$13)),0))</f>
        <v>0</v>
      </c>
      <c r="Y20" s="175">
        <f>ROUND(X20*$N$5,0)</f>
        <v>0</v>
      </c>
      <c r="Z20" s="176">
        <f t="shared" si="3"/>
        <v>0</v>
      </c>
      <c r="AA20" s="132"/>
      <c r="AB20" s="642">
        <f>10*AA20</f>
        <v>0</v>
      </c>
      <c r="AC20" s="638">
        <f t="shared" si="9"/>
        <v>0</v>
      </c>
      <c r="AD20" s="175">
        <f>IF(($B20*(1+$H$13)*(1+$N$13)*(1+$T$13)*(1+$Z$13)*(1+$AF$13))&gt;=($N$2*9),ROUND(($N$2*9)*AA20,0),ROUND(($AA20*$B20*(1+$H$13)*(1+$N$13)*(1+$T$13)*(1+$Z$13)*(1+$AF$13)),0))</f>
        <v>0</v>
      </c>
      <c r="AE20" s="175">
        <f>ROUND(AD20*$N$5,0)</f>
        <v>0</v>
      </c>
      <c r="AF20" s="176">
        <f t="shared" si="4"/>
        <v>0</v>
      </c>
      <c r="AG20" s="145">
        <f t="shared" si="5"/>
        <v>0</v>
      </c>
      <c r="AH20" s="206" t="s">
        <v>53</v>
      </c>
    </row>
    <row r="21" spans="1:38" x14ac:dyDescent="0.2">
      <c r="A21" s="113" t="s">
        <v>54</v>
      </c>
      <c r="B21" s="383">
        <f>B20/10*2</f>
        <v>0</v>
      </c>
      <c r="C21" s="132"/>
      <c r="D21" s="642">
        <f>2*C21</f>
        <v>0</v>
      </c>
      <c r="E21" s="638">
        <f t="shared" ref="E21:E28" si="10">B21*(1+$H$13)</f>
        <v>0</v>
      </c>
      <c r="F21" s="175">
        <f>IF(($B21*(1+$H$13))&gt;=($N$2*2),ROUND(($N$2*2)*C21,0),ROUND(($C21*$B21*(1+$H$13)),0))</f>
        <v>0</v>
      </c>
      <c r="G21" s="175">
        <f>ROUND(F21*$N$8,0)</f>
        <v>0</v>
      </c>
      <c r="H21" s="176">
        <f t="shared" si="0"/>
        <v>0</v>
      </c>
      <c r="I21" s="132"/>
      <c r="J21" s="642">
        <f>2*I21</f>
        <v>0</v>
      </c>
      <c r="K21" s="638">
        <f t="shared" si="6"/>
        <v>0</v>
      </c>
      <c r="L21" s="175">
        <f>IF(($B21*(1+$H$13)*(1+$N$13))&gt;=($N$2*2),ROUND(($N$2*2)*I21,0),ROUND(($I21*$B21*(1+$H$13)*(1+$N$13)),0))</f>
        <v>0</v>
      </c>
      <c r="M21" s="175">
        <f>ROUND(L21*$N$8,0)</f>
        <v>0</v>
      </c>
      <c r="N21" s="176">
        <f t="shared" si="1"/>
        <v>0</v>
      </c>
      <c r="O21" s="132"/>
      <c r="P21" s="642">
        <f>2*O21</f>
        <v>0</v>
      </c>
      <c r="Q21" s="638">
        <f t="shared" si="7"/>
        <v>0</v>
      </c>
      <c r="R21" s="175">
        <f>IF(($B21*(1+$H$13)*(1+$N$13)*(1+$T$13))&gt;=($N$2*2),ROUND(($N$2*2)*O21,0),ROUND(($O21*$B21*(1+$H$13)*(1+$N$13)*(1+$T$13)),0))</f>
        <v>0</v>
      </c>
      <c r="S21" s="175">
        <f>ROUND(R21*$N$8,0)</f>
        <v>0</v>
      </c>
      <c r="T21" s="176">
        <f t="shared" si="2"/>
        <v>0</v>
      </c>
      <c r="U21" s="132"/>
      <c r="V21" s="642">
        <f>2*U21</f>
        <v>0</v>
      </c>
      <c r="W21" s="638">
        <f t="shared" si="8"/>
        <v>0</v>
      </c>
      <c r="X21" s="175">
        <f>IF(($B21*(1+$H$13)*(1+$N$13)*(1+$T$13)*(1+$Z$13))&gt;=($N$2*2),ROUND(($N$2*2)*U21,0),ROUND(($U21*$B21*(1+$H$13)*(1+$N$13)*(1+$T$13)*(1+$Z$13)),0))</f>
        <v>0</v>
      </c>
      <c r="Y21" s="175">
        <f>ROUND(X21*$N$8,0)</f>
        <v>0</v>
      </c>
      <c r="Z21" s="176">
        <f t="shared" si="3"/>
        <v>0</v>
      </c>
      <c r="AA21" s="132"/>
      <c r="AB21" s="642">
        <f>2*AA21</f>
        <v>0</v>
      </c>
      <c r="AC21" s="638">
        <f t="shared" si="9"/>
        <v>0</v>
      </c>
      <c r="AD21" s="175">
        <f>IF(($B21*(1+$H$13)*(1+$N$13)*(1+$T$13)*(1+$Z$13)*(1+$AF$13))&gt;=($N$2*2),ROUND(($N$2*2)*AA21,0),ROUND(($AA21*$B21*(1+$H$13)*(1+$N$13)*(1+$T$13)*(1+$Z$13)*(1+$AF$13)),0))</f>
        <v>0</v>
      </c>
      <c r="AE21" s="175">
        <f>ROUND(AD21*$N$8,0)</f>
        <v>0</v>
      </c>
      <c r="AF21" s="176">
        <f t="shared" si="4"/>
        <v>0</v>
      </c>
      <c r="AG21" s="145">
        <f>ROUND(SUM(H21,N21,T21,Z21,AF21),0)</f>
        <v>0</v>
      </c>
      <c r="AH21" s="206" t="s">
        <v>54</v>
      </c>
    </row>
    <row r="22" spans="1:38" x14ac:dyDescent="0.2">
      <c r="A22" s="113" t="s">
        <v>55</v>
      </c>
      <c r="B22" s="133"/>
      <c r="C22" s="132"/>
      <c r="D22" s="642">
        <f>12*C22</f>
        <v>0</v>
      </c>
      <c r="E22" s="638">
        <f t="shared" si="10"/>
        <v>0</v>
      </c>
      <c r="F22" s="175">
        <f t="shared" ref="F22:F28" si="11">IF(($B22*(1+$H$13))&gt;=$N$3,ROUND($N$3*C22,0),ROUND(($C22*$B22*(1+$H$13)),0))</f>
        <v>0</v>
      </c>
      <c r="G22" s="175">
        <f>ROUND(F22*$N$5,0)</f>
        <v>0</v>
      </c>
      <c r="H22" s="176">
        <f t="shared" si="0"/>
        <v>0</v>
      </c>
      <c r="I22" s="132"/>
      <c r="J22" s="642">
        <f t="shared" ref="J22:J28" si="12">12*I22</f>
        <v>0</v>
      </c>
      <c r="K22" s="638">
        <f t="shared" si="6"/>
        <v>0</v>
      </c>
      <c r="L22" s="175">
        <f t="shared" ref="L22:L28" si="13">IF(($B22*(1+$H$13)*(1+$N$13))&gt;=($N$3),ROUND(($N$3)*I22,0),ROUND(($I22*$B22*(1+$H$13)*(1+$N$13)),0))</f>
        <v>0</v>
      </c>
      <c r="M22" s="175">
        <f>ROUND(L22*$N$5,0)</f>
        <v>0</v>
      </c>
      <c r="N22" s="176">
        <f t="shared" si="1"/>
        <v>0</v>
      </c>
      <c r="O22" s="132"/>
      <c r="P22" s="642">
        <f t="shared" ref="P22:P28" si="14">12*O22</f>
        <v>0</v>
      </c>
      <c r="Q22" s="638">
        <f t="shared" si="7"/>
        <v>0</v>
      </c>
      <c r="R22" s="175">
        <f t="shared" ref="R22:R28" si="15">IF(($B22*(1+$H$13)*(1+$N$13)*(1+$T$13))&gt;=($N$3),ROUND(($N$3)*O22,0),ROUND(($O22*$B22*(1+$H$13)*(1+$N$13)*(1+$T$13)),0))</f>
        <v>0</v>
      </c>
      <c r="S22" s="175">
        <f>ROUND(R22*$N$5,0)</f>
        <v>0</v>
      </c>
      <c r="T22" s="176">
        <f t="shared" si="2"/>
        <v>0</v>
      </c>
      <c r="U22" s="132"/>
      <c r="V22" s="642">
        <f t="shared" ref="V22:V28" si="16">12*U22</f>
        <v>0</v>
      </c>
      <c r="W22" s="638">
        <f t="shared" si="8"/>
        <v>0</v>
      </c>
      <c r="X22" s="175">
        <f t="shared" ref="X22:X28" si="17">IF(($B22*(1+$H$13)*(1+$N$13)*(1+$T$13)*(1+$Z$13))&gt;=($N$3),ROUND(($N$3)*U22,0),ROUND(($U22*$B22*(1+$H$13)*(1+$N$13)*(1+$T$13)*(1+$Z$13)),0))</f>
        <v>0</v>
      </c>
      <c r="Y22" s="175">
        <f>ROUND(X22*$N$5,0)</f>
        <v>0</v>
      </c>
      <c r="Z22" s="176">
        <f t="shared" si="3"/>
        <v>0</v>
      </c>
      <c r="AA22" s="132"/>
      <c r="AB22" s="642">
        <f t="shared" ref="AB22:AB28" si="18">12*AA22</f>
        <v>0</v>
      </c>
      <c r="AC22" s="638">
        <f>IF($B$10&gt;4,B22*(1+$H$13)*(1+$N$13)*(1+$T$13)*(1+$Z$13)*(1+$AF$13),0)</f>
        <v>0</v>
      </c>
      <c r="AD22" s="175">
        <f t="shared" ref="AD22:AD28" si="19">IF(($B22*(1+$H$13)*(1+$N$13)*(1+$T$13)*(1+$Z$13)*(1+$AF$13))&gt;=($N$3),ROUND(($N$3)*AA22,0),ROUND(($AA22*$B22*(1+$H$13)*(1+$N$13)*(1+$T$13)*(1+$Z$13)*(1+$AF$13)),0))</f>
        <v>0</v>
      </c>
      <c r="AE22" s="175">
        <f>ROUND(AD22*$N$5,0)</f>
        <v>0</v>
      </c>
      <c r="AF22" s="176">
        <f t="shared" si="4"/>
        <v>0</v>
      </c>
      <c r="AG22" s="145">
        <f t="shared" si="5"/>
        <v>0</v>
      </c>
      <c r="AH22" s="206" t="s">
        <v>55</v>
      </c>
    </row>
    <row r="23" spans="1:38" x14ac:dyDescent="0.2">
      <c r="A23" s="258" t="s">
        <v>200</v>
      </c>
      <c r="B23" s="674">
        <v>66560</v>
      </c>
      <c r="C23" s="132"/>
      <c r="D23" s="642">
        <f t="shared" ref="D23:D28" si="20">12*C23</f>
        <v>0</v>
      </c>
      <c r="E23" s="638">
        <f t="shared" si="10"/>
        <v>66560</v>
      </c>
      <c r="F23" s="175">
        <f t="shared" si="11"/>
        <v>0</v>
      </c>
      <c r="G23" s="175">
        <f>ROUND(F23*$N$5,0)</f>
        <v>0</v>
      </c>
      <c r="H23" s="176">
        <f t="shared" si="0"/>
        <v>0</v>
      </c>
      <c r="I23" s="132"/>
      <c r="J23" s="642">
        <f t="shared" si="12"/>
        <v>0</v>
      </c>
      <c r="K23" s="638">
        <f t="shared" si="6"/>
        <v>0</v>
      </c>
      <c r="L23" s="175">
        <f t="shared" si="13"/>
        <v>0</v>
      </c>
      <c r="M23" s="175">
        <f>ROUND(L23*$N$5,0)</f>
        <v>0</v>
      </c>
      <c r="N23" s="176">
        <f t="shared" si="1"/>
        <v>0</v>
      </c>
      <c r="O23" s="132"/>
      <c r="P23" s="642">
        <f t="shared" si="14"/>
        <v>0</v>
      </c>
      <c r="Q23" s="638">
        <f t="shared" si="7"/>
        <v>0</v>
      </c>
      <c r="R23" s="175">
        <f t="shared" si="15"/>
        <v>0</v>
      </c>
      <c r="S23" s="175">
        <f>ROUND(R23*$N$5,0)</f>
        <v>0</v>
      </c>
      <c r="T23" s="176">
        <f t="shared" si="2"/>
        <v>0</v>
      </c>
      <c r="U23" s="132"/>
      <c r="V23" s="642">
        <f t="shared" si="16"/>
        <v>0</v>
      </c>
      <c r="W23" s="638">
        <f t="shared" si="8"/>
        <v>0</v>
      </c>
      <c r="X23" s="175">
        <f t="shared" si="17"/>
        <v>0</v>
      </c>
      <c r="Y23" s="175">
        <f>ROUND(X23*$N$5,0)</f>
        <v>0</v>
      </c>
      <c r="Z23" s="176">
        <f t="shared" si="3"/>
        <v>0</v>
      </c>
      <c r="AA23" s="132"/>
      <c r="AB23" s="642">
        <f t="shared" si="18"/>
        <v>0</v>
      </c>
      <c r="AC23" s="638">
        <f t="shared" si="9"/>
        <v>0</v>
      </c>
      <c r="AD23" s="175">
        <f t="shared" si="19"/>
        <v>0</v>
      </c>
      <c r="AE23" s="175">
        <f>ROUND(AD23*$N$5,0)</f>
        <v>0</v>
      </c>
      <c r="AF23" s="176">
        <f t="shared" si="4"/>
        <v>0</v>
      </c>
      <c r="AG23" s="145">
        <f t="shared" si="5"/>
        <v>0</v>
      </c>
      <c r="AH23" s="206" t="s">
        <v>162</v>
      </c>
    </row>
    <row r="24" spans="1:38" x14ac:dyDescent="0.2">
      <c r="A24" s="258" t="s">
        <v>201</v>
      </c>
      <c r="B24" s="674"/>
      <c r="C24" s="132"/>
      <c r="D24" s="642">
        <f t="shared" si="20"/>
        <v>0</v>
      </c>
      <c r="E24" s="638">
        <f t="shared" si="10"/>
        <v>0</v>
      </c>
      <c r="F24" s="175">
        <f t="shared" si="11"/>
        <v>0</v>
      </c>
      <c r="G24" s="175">
        <f>ROUND(F24*$N$5,0)</f>
        <v>0</v>
      </c>
      <c r="H24" s="176">
        <f t="shared" si="0"/>
        <v>0</v>
      </c>
      <c r="I24" s="132"/>
      <c r="J24" s="642">
        <f t="shared" si="12"/>
        <v>0</v>
      </c>
      <c r="K24" s="638">
        <f t="shared" si="6"/>
        <v>0</v>
      </c>
      <c r="L24" s="175">
        <f t="shared" si="13"/>
        <v>0</v>
      </c>
      <c r="M24" s="175">
        <f>ROUND(L24*$N$5,0)</f>
        <v>0</v>
      </c>
      <c r="N24" s="176">
        <f t="shared" si="1"/>
        <v>0</v>
      </c>
      <c r="O24" s="132"/>
      <c r="P24" s="642">
        <f t="shared" si="14"/>
        <v>0</v>
      </c>
      <c r="Q24" s="638">
        <f t="shared" si="7"/>
        <v>0</v>
      </c>
      <c r="R24" s="175">
        <f t="shared" si="15"/>
        <v>0</v>
      </c>
      <c r="S24" s="175">
        <f>ROUND(R24*$N$5,0)</f>
        <v>0</v>
      </c>
      <c r="T24" s="176">
        <f t="shared" si="2"/>
        <v>0</v>
      </c>
      <c r="U24" s="132"/>
      <c r="V24" s="642">
        <f t="shared" si="16"/>
        <v>0</v>
      </c>
      <c r="W24" s="638">
        <f t="shared" si="8"/>
        <v>0</v>
      </c>
      <c r="X24" s="175">
        <f t="shared" si="17"/>
        <v>0</v>
      </c>
      <c r="Y24" s="175">
        <f>ROUND(X24*$N$5,0)</f>
        <v>0</v>
      </c>
      <c r="Z24" s="176">
        <f t="shared" si="3"/>
        <v>0</v>
      </c>
      <c r="AA24" s="132"/>
      <c r="AB24" s="642">
        <f t="shared" si="18"/>
        <v>0</v>
      </c>
      <c r="AC24" s="638">
        <f t="shared" si="9"/>
        <v>0</v>
      </c>
      <c r="AD24" s="175">
        <f t="shared" si="19"/>
        <v>0</v>
      </c>
      <c r="AE24" s="175">
        <f>ROUND(AD24*$N$5,0)</f>
        <v>0</v>
      </c>
      <c r="AF24" s="176">
        <f t="shared" si="4"/>
        <v>0</v>
      </c>
      <c r="AG24" s="145">
        <f t="shared" si="5"/>
        <v>0</v>
      </c>
      <c r="AH24" s="206" t="s">
        <v>163</v>
      </c>
    </row>
    <row r="25" spans="1:38" x14ac:dyDescent="0.2">
      <c r="A25" s="675" t="s">
        <v>57</v>
      </c>
      <c r="B25" s="674"/>
      <c r="C25" s="132"/>
      <c r="D25" s="642">
        <f>12*C25</f>
        <v>0</v>
      </c>
      <c r="E25" s="638">
        <f t="shared" si="10"/>
        <v>0</v>
      </c>
      <c r="F25" s="175">
        <f t="shared" si="11"/>
        <v>0</v>
      </c>
      <c r="G25" s="175">
        <f>IF(C25&gt;50%,ROUND((F25*$N$6),0),ROUND((F25*$N$8),0))</f>
        <v>0</v>
      </c>
      <c r="H25" s="176">
        <f>ROUND(SUM(F25:G25),0)</f>
        <v>0</v>
      </c>
      <c r="I25" s="132"/>
      <c r="J25" s="642">
        <f t="shared" si="12"/>
        <v>0</v>
      </c>
      <c r="K25" s="638">
        <f t="shared" si="6"/>
        <v>0</v>
      </c>
      <c r="L25" s="175">
        <f t="shared" si="13"/>
        <v>0</v>
      </c>
      <c r="M25" s="175">
        <f>IF(I25&gt;50%,ROUND((L25*$N$6),0),ROUND((L25*$N$8),0))</f>
        <v>0</v>
      </c>
      <c r="N25" s="176">
        <f>ROUND(SUM(L25:M25),0)</f>
        <v>0</v>
      </c>
      <c r="O25" s="132"/>
      <c r="P25" s="642">
        <f t="shared" si="14"/>
        <v>0</v>
      </c>
      <c r="Q25" s="638">
        <f t="shared" si="7"/>
        <v>0</v>
      </c>
      <c r="R25" s="175">
        <f t="shared" si="15"/>
        <v>0</v>
      </c>
      <c r="S25" s="175">
        <f>IF(O25&gt;50%,ROUND((R25*$N$6),0),ROUND((R25*$N$8),0))</f>
        <v>0</v>
      </c>
      <c r="T25" s="176">
        <f>ROUND(SUM(R25:S25),0)</f>
        <v>0</v>
      </c>
      <c r="U25" s="132"/>
      <c r="V25" s="642">
        <f t="shared" si="16"/>
        <v>0</v>
      </c>
      <c r="W25" s="638">
        <f t="shared" si="8"/>
        <v>0</v>
      </c>
      <c r="X25" s="175">
        <f t="shared" si="17"/>
        <v>0</v>
      </c>
      <c r="Y25" s="175">
        <f>IF(U25&gt;50%,ROUND((X25*$N$6),0),ROUND((X25*$N$8),0))</f>
        <v>0</v>
      </c>
      <c r="Z25" s="176">
        <f>ROUND(SUM(X25:Y25),0)</f>
        <v>0</v>
      </c>
      <c r="AA25" s="132"/>
      <c r="AB25" s="642">
        <f t="shared" si="18"/>
        <v>0</v>
      </c>
      <c r="AC25" s="638">
        <f t="shared" si="9"/>
        <v>0</v>
      </c>
      <c r="AD25" s="175">
        <f t="shared" si="19"/>
        <v>0</v>
      </c>
      <c r="AE25" s="175">
        <f>IF(AA25&gt;50%,ROUND((AD25*$N$6),0),ROUND((AD25*$N$8),0))</f>
        <v>0</v>
      </c>
      <c r="AF25" s="176">
        <f>ROUND(SUM(AD25:AE25),0)</f>
        <v>0</v>
      </c>
      <c r="AG25" s="145">
        <f>ROUND(SUM(H25,N25,T25,Z25,AF25),0)</f>
        <v>0</v>
      </c>
      <c r="AH25" s="206" t="s">
        <v>163</v>
      </c>
    </row>
    <row r="26" spans="1:38" x14ac:dyDescent="0.2">
      <c r="A26" s="258" t="s">
        <v>58</v>
      </c>
      <c r="B26" s="580">
        <f>35.77*2080</f>
        <v>74401.600000000006</v>
      </c>
      <c r="C26" s="132"/>
      <c r="D26" s="642">
        <f t="shared" si="20"/>
        <v>0</v>
      </c>
      <c r="E26" s="638">
        <f t="shared" si="10"/>
        <v>74401.600000000006</v>
      </c>
      <c r="F26" s="175">
        <f t="shared" si="11"/>
        <v>0</v>
      </c>
      <c r="G26" s="175">
        <f>ROUND(F26*$N$7,0)</f>
        <v>0</v>
      </c>
      <c r="H26" s="176">
        <f t="shared" si="0"/>
        <v>0</v>
      </c>
      <c r="I26" s="132"/>
      <c r="J26" s="642">
        <f t="shared" si="12"/>
        <v>0</v>
      </c>
      <c r="K26" s="638">
        <f t="shared" si="6"/>
        <v>0</v>
      </c>
      <c r="L26" s="175">
        <f t="shared" si="13"/>
        <v>0</v>
      </c>
      <c r="M26" s="175">
        <f>ROUND(L26*$N$7,0)</f>
        <v>0</v>
      </c>
      <c r="N26" s="176">
        <f t="shared" si="1"/>
        <v>0</v>
      </c>
      <c r="O26" s="132"/>
      <c r="P26" s="642">
        <f t="shared" si="14"/>
        <v>0</v>
      </c>
      <c r="Q26" s="638">
        <f t="shared" si="7"/>
        <v>0</v>
      </c>
      <c r="R26" s="175">
        <f t="shared" si="15"/>
        <v>0</v>
      </c>
      <c r="S26" s="175">
        <f>ROUND(R26*$N$7,0)</f>
        <v>0</v>
      </c>
      <c r="T26" s="176">
        <f t="shared" si="2"/>
        <v>0</v>
      </c>
      <c r="U26" s="132"/>
      <c r="V26" s="642">
        <f t="shared" si="16"/>
        <v>0</v>
      </c>
      <c r="W26" s="638">
        <f t="shared" si="8"/>
        <v>0</v>
      </c>
      <c r="X26" s="175">
        <f t="shared" si="17"/>
        <v>0</v>
      </c>
      <c r="Y26" s="175">
        <f>ROUND(X26*$N$7,0)</f>
        <v>0</v>
      </c>
      <c r="Z26" s="176">
        <f t="shared" si="3"/>
        <v>0</v>
      </c>
      <c r="AA26" s="132"/>
      <c r="AB26" s="642">
        <f t="shared" si="18"/>
        <v>0</v>
      </c>
      <c r="AC26" s="638">
        <f t="shared" si="9"/>
        <v>0</v>
      </c>
      <c r="AD26" s="175">
        <f t="shared" si="19"/>
        <v>0</v>
      </c>
      <c r="AE26" s="175">
        <f>ROUND(AD26*$N$7,0)</f>
        <v>0</v>
      </c>
      <c r="AF26" s="176">
        <f t="shared" si="4"/>
        <v>0</v>
      </c>
      <c r="AG26" s="145">
        <f t="shared" si="5"/>
        <v>0</v>
      </c>
      <c r="AH26" s="206" t="s">
        <v>59</v>
      </c>
    </row>
    <row r="27" spans="1:38" x14ac:dyDescent="0.2">
      <c r="A27" s="258" t="s">
        <v>60</v>
      </c>
      <c r="B27" s="580">
        <f>37.82*2080</f>
        <v>78665.600000000006</v>
      </c>
      <c r="C27" s="132"/>
      <c r="D27" s="642">
        <f t="shared" si="20"/>
        <v>0</v>
      </c>
      <c r="E27" s="638">
        <f t="shared" si="10"/>
        <v>78665.600000000006</v>
      </c>
      <c r="F27" s="175">
        <f t="shared" si="11"/>
        <v>0</v>
      </c>
      <c r="G27" s="175">
        <f>ROUND(F27*$N$7,0)</f>
        <v>0</v>
      </c>
      <c r="H27" s="176">
        <f t="shared" si="0"/>
        <v>0</v>
      </c>
      <c r="I27" s="132"/>
      <c r="J27" s="642">
        <f t="shared" si="12"/>
        <v>0</v>
      </c>
      <c r="K27" s="638">
        <f t="shared" si="6"/>
        <v>0</v>
      </c>
      <c r="L27" s="175">
        <f t="shared" si="13"/>
        <v>0</v>
      </c>
      <c r="M27" s="175">
        <f>ROUND(L27*$N$7,0)</f>
        <v>0</v>
      </c>
      <c r="N27" s="176">
        <f t="shared" si="1"/>
        <v>0</v>
      </c>
      <c r="O27" s="132"/>
      <c r="P27" s="642">
        <f t="shared" si="14"/>
        <v>0</v>
      </c>
      <c r="Q27" s="638">
        <f t="shared" si="7"/>
        <v>0</v>
      </c>
      <c r="R27" s="175">
        <f t="shared" si="15"/>
        <v>0</v>
      </c>
      <c r="S27" s="175">
        <f>ROUND(R27*$N$7,0)</f>
        <v>0</v>
      </c>
      <c r="T27" s="176">
        <f t="shared" si="2"/>
        <v>0</v>
      </c>
      <c r="U27" s="132"/>
      <c r="V27" s="642">
        <f t="shared" si="16"/>
        <v>0</v>
      </c>
      <c r="W27" s="638">
        <f t="shared" si="8"/>
        <v>0</v>
      </c>
      <c r="X27" s="175">
        <f t="shared" si="17"/>
        <v>0</v>
      </c>
      <c r="Y27" s="175">
        <f>ROUND(X27*$N$7,0)</f>
        <v>0</v>
      </c>
      <c r="Z27" s="176">
        <f t="shared" si="3"/>
        <v>0</v>
      </c>
      <c r="AA27" s="132"/>
      <c r="AB27" s="642">
        <f t="shared" si="18"/>
        <v>0</v>
      </c>
      <c r="AC27" s="638">
        <f t="shared" si="9"/>
        <v>0</v>
      </c>
      <c r="AD27" s="175">
        <f t="shared" si="19"/>
        <v>0</v>
      </c>
      <c r="AE27" s="175">
        <f>ROUND(AD27*$N$7,0)</f>
        <v>0</v>
      </c>
      <c r="AF27" s="176">
        <f t="shared" si="4"/>
        <v>0</v>
      </c>
      <c r="AG27" s="145">
        <f t="shared" si="5"/>
        <v>0</v>
      </c>
      <c r="AH27" s="206" t="s">
        <v>61</v>
      </c>
    </row>
    <row r="28" spans="1:38" ht="13.5" thickBot="1" x14ac:dyDescent="0.25">
      <c r="A28" s="259" t="s">
        <v>62</v>
      </c>
      <c r="B28" s="115">
        <f>16*2080</f>
        <v>33280</v>
      </c>
      <c r="C28" s="134"/>
      <c r="D28" s="643">
        <f t="shared" si="20"/>
        <v>0</v>
      </c>
      <c r="E28" s="658">
        <f t="shared" si="10"/>
        <v>33280</v>
      </c>
      <c r="F28" s="177">
        <f t="shared" si="11"/>
        <v>0</v>
      </c>
      <c r="G28" s="177">
        <f>ROUND(F28*$N$7,0)</f>
        <v>0</v>
      </c>
      <c r="H28" s="178">
        <f t="shared" si="0"/>
        <v>0</v>
      </c>
      <c r="I28" s="135"/>
      <c r="J28" s="643">
        <f t="shared" si="12"/>
        <v>0</v>
      </c>
      <c r="K28" s="638">
        <f t="shared" si="6"/>
        <v>0</v>
      </c>
      <c r="L28" s="177">
        <f t="shared" si="13"/>
        <v>0</v>
      </c>
      <c r="M28" s="177">
        <f>ROUND(L28*$N$7,0)</f>
        <v>0</v>
      </c>
      <c r="N28" s="178">
        <f t="shared" si="1"/>
        <v>0</v>
      </c>
      <c r="O28" s="135"/>
      <c r="P28" s="643">
        <f t="shared" si="14"/>
        <v>0</v>
      </c>
      <c r="Q28" s="638">
        <f t="shared" si="7"/>
        <v>0</v>
      </c>
      <c r="R28" s="177">
        <f t="shared" si="15"/>
        <v>0</v>
      </c>
      <c r="S28" s="177">
        <f>ROUND(R28*$N$7,0)</f>
        <v>0</v>
      </c>
      <c r="T28" s="178">
        <f t="shared" si="2"/>
        <v>0</v>
      </c>
      <c r="U28" s="135"/>
      <c r="V28" s="643">
        <f t="shared" si="16"/>
        <v>0</v>
      </c>
      <c r="W28" s="638">
        <f t="shared" si="8"/>
        <v>0</v>
      </c>
      <c r="X28" s="177">
        <f t="shared" si="17"/>
        <v>0</v>
      </c>
      <c r="Y28" s="177">
        <f>ROUND(X28*$N$7,0)</f>
        <v>0</v>
      </c>
      <c r="Z28" s="178">
        <f t="shared" si="3"/>
        <v>0</v>
      </c>
      <c r="AA28" s="135"/>
      <c r="AB28" s="643">
        <f t="shared" si="18"/>
        <v>0</v>
      </c>
      <c r="AC28" s="638">
        <f t="shared" si="9"/>
        <v>0</v>
      </c>
      <c r="AD28" s="177">
        <f t="shared" si="19"/>
        <v>0</v>
      </c>
      <c r="AE28" s="177">
        <f>ROUND(AD28*$N$7,0)</f>
        <v>0</v>
      </c>
      <c r="AF28" s="176">
        <f t="shared" si="4"/>
        <v>0</v>
      </c>
      <c r="AG28" s="145">
        <f t="shared" si="5"/>
        <v>0</v>
      </c>
      <c r="AH28" s="206" t="s">
        <v>164</v>
      </c>
    </row>
    <row r="29" spans="1:38" ht="13.5" thickBot="1" x14ac:dyDescent="0.25">
      <c r="A29" s="260" t="s">
        <v>64</v>
      </c>
      <c r="B29" s="261"/>
      <c r="C29" s="450"/>
      <c r="D29" s="657"/>
      <c r="E29" s="449"/>
      <c r="F29" s="177">
        <f>SUM(F18:F28)</f>
        <v>0</v>
      </c>
      <c r="G29" s="177">
        <f>SUM(G18:G28)</f>
        <v>0</v>
      </c>
      <c r="H29" s="180">
        <f>SUM(H18:H28)</f>
        <v>0</v>
      </c>
      <c r="I29" s="447"/>
      <c r="J29" s="659"/>
      <c r="K29" s="448"/>
      <c r="L29" s="177">
        <f>SUM(L18:L28)</f>
        <v>0</v>
      </c>
      <c r="M29" s="177">
        <f>SUM(M18:M28)</f>
        <v>0</v>
      </c>
      <c r="N29" s="180">
        <f>SUM(N18:N28)</f>
        <v>0</v>
      </c>
      <c r="O29" s="447"/>
      <c r="P29" s="659"/>
      <c r="Q29" s="448"/>
      <c r="R29" s="177">
        <f>SUM(R18:R28)</f>
        <v>0</v>
      </c>
      <c r="S29" s="177">
        <f>SUM(S18:S28)</f>
        <v>0</v>
      </c>
      <c r="T29" s="180">
        <f>SUM(T18:T28)</f>
        <v>0</v>
      </c>
      <c r="U29" s="447"/>
      <c r="V29" s="659"/>
      <c r="W29" s="448"/>
      <c r="X29" s="177">
        <f>SUM(X18:X28)</f>
        <v>0</v>
      </c>
      <c r="Y29" s="177">
        <f>SUM(Y18:Y28)</f>
        <v>0</v>
      </c>
      <c r="Z29" s="180">
        <f>SUM(Z18:Z28)</f>
        <v>0</v>
      </c>
      <c r="AA29" s="447"/>
      <c r="AB29" s="659"/>
      <c r="AC29" s="448"/>
      <c r="AD29" s="177">
        <f>SUM(AD18:AD28)</f>
        <v>0</v>
      </c>
      <c r="AE29" s="177">
        <f>SUM(AE18:AE28)</f>
        <v>0</v>
      </c>
      <c r="AF29" s="189">
        <f>SUM(AF18:AF28)</f>
        <v>0</v>
      </c>
      <c r="AG29" s="146">
        <f>SUM(AG18:AG28)</f>
        <v>0</v>
      </c>
      <c r="AH29" s="207" t="s">
        <v>64</v>
      </c>
      <c r="AI29" s="3"/>
      <c r="AJ29" s="3"/>
      <c r="AK29" s="3"/>
      <c r="AL29" s="3"/>
    </row>
    <row r="30" spans="1:38" ht="13.5" thickBot="1" x14ac:dyDescent="0.25">
      <c r="A30" s="260"/>
      <c r="B30" s="261"/>
      <c r="C30" s="262"/>
      <c r="D30" s="261"/>
      <c r="E30" s="261"/>
      <c r="F30" s="261"/>
      <c r="G30" s="261"/>
      <c r="H30" s="263"/>
      <c r="I30" s="263"/>
      <c r="J30" s="263"/>
      <c r="K30" s="263"/>
      <c r="L30" s="261"/>
      <c r="M30" s="261"/>
      <c r="N30" s="263"/>
      <c r="O30" s="263"/>
      <c r="P30" s="263"/>
      <c r="Q30" s="263"/>
      <c r="R30" s="261"/>
      <c r="S30" s="261"/>
      <c r="T30" s="263"/>
      <c r="U30" s="263"/>
      <c r="V30" s="263"/>
      <c r="W30" s="263"/>
      <c r="X30" s="261"/>
      <c r="Y30" s="261"/>
      <c r="Z30" s="263"/>
      <c r="AA30" s="263"/>
      <c r="AB30" s="263"/>
      <c r="AC30" s="263"/>
      <c r="AD30" s="261"/>
      <c r="AE30" s="261"/>
      <c r="AF30" s="263"/>
      <c r="AG30" s="147">
        <f>SUM(AD29,X29,R29,L29,F29)</f>
        <v>0</v>
      </c>
      <c r="AH30" s="207" t="s">
        <v>66</v>
      </c>
      <c r="AI30" s="3"/>
      <c r="AJ30" s="3"/>
      <c r="AK30" s="3"/>
      <c r="AL30" s="3"/>
    </row>
    <row r="31" spans="1:38" ht="13.5" thickBot="1" x14ac:dyDescent="0.25">
      <c r="A31" s="264"/>
      <c r="B31" s="265"/>
      <c r="C31" s="266"/>
      <c r="D31" s="265"/>
      <c r="E31" s="265"/>
      <c r="F31" s="265"/>
      <c r="G31" s="265"/>
      <c r="H31" s="267" t="s">
        <v>37</v>
      </c>
      <c r="I31" s="267"/>
      <c r="J31" s="267"/>
      <c r="K31" s="267"/>
      <c r="L31" s="268"/>
      <c r="M31" s="268"/>
      <c r="N31" s="267" t="s">
        <v>38</v>
      </c>
      <c r="O31" s="267"/>
      <c r="P31" s="267"/>
      <c r="Q31" s="267"/>
      <c r="R31" s="268"/>
      <c r="S31" s="268"/>
      <c r="T31" s="267" t="s">
        <v>39</v>
      </c>
      <c r="U31" s="267"/>
      <c r="V31" s="267"/>
      <c r="W31" s="267"/>
      <c r="X31" s="268"/>
      <c r="Y31" s="268"/>
      <c r="Z31" s="267" t="s">
        <v>40</v>
      </c>
      <c r="AA31" s="267"/>
      <c r="AB31" s="267"/>
      <c r="AC31" s="267"/>
      <c r="AD31" s="268"/>
      <c r="AE31" s="268"/>
      <c r="AF31" s="267" t="s">
        <v>41</v>
      </c>
      <c r="AG31" s="148">
        <f>AE29+Y29+S29+M29+G29</f>
        <v>0</v>
      </c>
      <c r="AH31" s="208" t="s">
        <v>67</v>
      </c>
      <c r="AI31" s="3"/>
      <c r="AJ31" s="3"/>
      <c r="AK31" s="3"/>
      <c r="AL31" s="3"/>
    </row>
    <row r="32" spans="1:38" ht="13.5" thickBot="1" x14ac:dyDescent="0.25">
      <c r="A32" s="269" t="s">
        <v>68</v>
      </c>
      <c r="B32" s="313"/>
      <c r="C32" s="314"/>
      <c r="D32" s="693"/>
      <c r="E32" s="693"/>
      <c r="F32" s="787"/>
      <c r="G32" s="757"/>
      <c r="H32" s="136">
        <v>0</v>
      </c>
      <c r="I32" s="836"/>
      <c r="J32" s="787"/>
      <c r="K32" s="787"/>
      <c r="L32" s="787"/>
      <c r="M32" s="757"/>
      <c r="N32" s="136">
        <v>0</v>
      </c>
      <c r="O32" s="836"/>
      <c r="P32" s="787"/>
      <c r="Q32" s="787"/>
      <c r="R32" s="787"/>
      <c r="S32" s="757"/>
      <c r="T32" s="136">
        <v>0</v>
      </c>
      <c r="U32" s="836"/>
      <c r="V32" s="787"/>
      <c r="W32" s="787"/>
      <c r="X32" s="787"/>
      <c r="Y32" s="757"/>
      <c r="Z32" s="136">
        <v>0</v>
      </c>
      <c r="AA32" s="836"/>
      <c r="AB32" s="787"/>
      <c r="AC32" s="787"/>
      <c r="AD32" s="787"/>
      <c r="AE32" s="757"/>
      <c r="AF32" s="136">
        <v>0</v>
      </c>
      <c r="AG32" s="149">
        <f>AF32+Z32+T32+N32+H32</f>
        <v>0</v>
      </c>
      <c r="AH32" s="209" t="s">
        <v>69</v>
      </c>
      <c r="AI32" s="3"/>
      <c r="AJ32" s="3"/>
      <c r="AK32" s="3"/>
      <c r="AL32" s="3"/>
    </row>
    <row r="33" spans="1:41" x14ac:dyDescent="0.2">
      <c r="A33" s="275" t="s">
        <v>70</v>
      </c>
      <c r="B33" s="261"/>
      <c r="C33" s="276"/>
      <c r="D33" s="708"/>
      <c r="E33" s="708"/>
      <c r="F33" s="765"/>
      <c r="G33" s="766"/>
      <c r="H33" s="117">
        <v>0</v>
      </c>
      <c r="I33" s="820"/>
      <c r="J33" s="821"/>
      <c r="K33" s="821"/>
      <c r="L33" s="821"/>
      <c r="M33" s="764"/>
      <c r="N33" s="117">
        <v>0</v>
      </c>
      <c r="O33" s="820"/>
      <c r="P33" s="821"/>
      <c r="Q33" s="821"/>
      <c r="R33" s="821"/>
      <c r="S33" s="764"/>
      <c r="T33" s="117">
        <v>0</v>
      </c>
      <c r="U33" s="820"/>
      <c r="V33" s="821"/>
      <c r="W33" s="821"/>
      <c r="X33" s="821"/>
      <c r="Y33" s="764"/>
      <c r="Z33" s="117">
        <v>0</v>
      </c>
      <c r="AA33" s="820"/>
      <c r="AB33" s="821"/>
      <c r="AC33" s="821"/>
      <c r="AD33" s="821"/>
      <c r="AE33" s="764"/>
      <c r="AF33" s="117">
        <v>0</v>
      </c>
      <c r="AG33" s="150">
        <f>SUM(AF33,Z33,T33,N33,H33)</f>
        <v>0</v>
      </c>
      <c r="AH33" s="200" t="s">
        <v>71</v>
      </c>
      <c r="AI33" s="3"/>
      <c r="AJ33" s="3"/>
      <c r="AK33" s="3"/>
      <c r="AL33" s="3"/>
    </row>
    <row r="34" spans="1:41" ht="13.5" thickBot="1" x14ac:dyDescent="0.25">
      <c r="A34" s="275" t="s">
        <v>72</v>
      </c>
      <c r="B34" s="261"/>
      <c r="C34" s="276"/>
      <c r="D34" s="708"/>
      <c r="E34" s="708"/>
      <c r="F34" s="765"/>
      <c r="G34" s="765"/>
      <c r="H34" s="125">
        <v>0</v>
      </c>
      <c r="I34" s="820"/>
      <c r="J34" s="821"/>
      <c r="K34" s="821"/>
      <c r="L34" s="821"/>
      <c r="M34" s="764"/>
      <c r="N34" s="125">
        <v>0</v>
      </c>
      <c r="O34" s="820"/>
      <c r="P34" s="821"/>
      <c r="Q34" s="821"/>
      <c r="R34" s="821"/>
      <c r="S34" s="764"/>
      <c r="T34" s="125">
        <v>0</v>
      </c>
      <c r="U34" s="820"/>
      <c r="V34" s="821"/>
      <c r="W34" s="821"/>
      <c r="X34" s="821"/>
      <c r="Y34" s="764"/>
      <c r="Z34" s="125">
        <v>0</v>
      </c>
      <c r="AA34" s="820"/>
      <c r="AB34" s="821"/>
      <c r="AC34" s="821"/>
      <c r="AD34" s="821"/>
      <c r="AE34" s="764"/>
      <c r="AF34" s="125">
        <v>0</v>
      </c>
      <c r="AG34" s="151">
        <f>SUM(AF34,Z34,T34,N34,H34)</f>
        <v>0</v>
      </c>
      <c r="AH34" s="200" t="s">
        <v>73</v>
      </c>
      <c r="AI34" s="3"/>
      <c r="AJ34" s="3"/>
      <c r="AK34" s="3"/>
      <c r="AL34" s="3"/>
    </row>
    <row r="35" spans="1:41" ht="13.5" thickBot="1" x14ac:dyDescent="0.25">
      <c r="A35" s="282" t="s">
        <v>74</v>
      </c>
      <c r="B35" s="265"/>
      <c r="C35" s="283"/>
      <c r="D35" s="265"/>
      <c r="E35" s="265"/>
      <c r="F35" s="265"/>
      <c r="G35" s="265"/>
      <c r="H35" s="181">
        <f>H33+H34</f>
        <v>0</v>
      </c>
      <c r="I35" s="284"/>
      <c r="J35" s="284"/>
      <c r="K35" s="284"/>
      <c r="L35" s="265"/>
      <c r="M35" s="265"/>
      <c r="N35" s="181">
        <f>N33+N34</f>
        <v>0</v>
      </c>
      <c r="O35" s="284"/>
      <c r="P35" s="284"/>
      <c r="Q35" s="284"/>
      <c r="R35" s="265"/>
      <c r="S35" s="265"/>
      <c r="T35" s="181">
        <f>T33+T34</f>
        <v>0</v>
      </c>
      <c r="U35" s="284"/>
      <c r="V35" s="284"/>
      <c r="W35" s="284"/>
      <c r="X35" s="265"/>
      <c r="Y35" s="265"/>
      <c r="Z35" s="181">
        <f>Z33+Z34</f>
        <v>0</v>
      </c>
      <c r="AA35" s="284"/>
      <c r="AB35" s="284"/>
      <c r="AC35" s="284"/>
      <c r="AD35" s="265"/>
      <c r="AE35" s="265"/>
      <c r="AF35" s="181">
        <f>AF33+AF34</f>
        <v>0</v>
      </c>
      <c r="AG35" s="152">
        <f>SUM(AG33:AG34)</f>
        <v>0</v>
      </c>
      <c r="AH35" s="210" t="s">
        <v>75</v>
      </c>
    </row>
    <row r="36" spans="1:41" outlineLevel="1" x14ac:dyDescent="0.2">
      <c r="A36" s="285" t="s">
        <v>76</v>
      </c>
      <c r="B36" s="153" t="s">
        <v>157</v>
      </c>
      <c r="C36" s="817" t="s">
        <v>78</v>
      </c>
      <c r="D36" s="818"/>
      <c r="E36" s="818"/>
      <c r="F36" s="818"/>
      <c r="G36" s="119"/>
      <c r="H36" s="263"/>
      <c r="I36" s="817" t="s">
        <v>158</v>
      </c>
      <c r="J36" s="818"/>
      <c r="K36" s="818"/>
      <c r="L36" s="818"/>
      <c r="M36" s="119"/>
      <c r="N36" s="263"/>
      <c r="O36" s="817" t="s">
        <v>159</v>
      </c>
      <c r="P36" s="818"/>
      <c r="Q36" s="818"/>
      <c r="R36" s="818"/>
      <c r="S36" s="119"/>
      <c r="T36" s="263"/>
      <c r="U36" s="817" t="s">
        <v>160</v>
      </c>
      <c r="V36" s="818"/>
      <c r="W36" s="818"/>
      <c r="X36" s="818"/>
      <c r="Y36" s="119"/>
      <c r="Z36" s="263"/>
      <c r="AA36" s="817" t="s">
        <v>161</v>
      </c>
      <c r="AB36" s="818"/>
      <c r="AC36" s="818"/>
      <c r="AD36" s="818"/>
      <c r="AE36" s="119"/>
      <c r="AF36" s="263"/>
      <c r="AG36" s="286"/>
      <c r="AH36" s="211" t="s">
        <v>138</v>
      </c>
    </row>
    <row r="37" spans="1:41" outlineLevel="1" x14ac:dyDescent="0.2">
      <c r="A37" s="258" t="s">
        <v>79</v>
      </c>
      <c r="B37" s="112"/>
      <c r="C37" s="224"/>
      <c r="D37" s="224"/>
      <c r="E37" s="224"/>
      <c r="F37" s="224"/>
      <c r="G37" s="261"/>
      <c r="H37" s="182">
        <f>B37*$G$36*(1+$H$13)</f>
        <v>0</v>
      </c>
      <c r="I37" s="287"/>
      <c r="J37" s="287"/>
      <c r="K37" s="287"/>
      <c r="L37" s="261"/>
      <c r="M37" s="261"/>
      <c r="N37" s="183">
        <f>$B37*$M$36*(1+$H$13)*(1+$N$13)</f>
        <v>0</v>
      </c>
      <c r="O37" s="288"/>
      <c r="P37" s="288"/>
      <c r="Q37" s="288"/>
      <c r="R37" s="261"/>
      <c r="S37" s="261"/>
      <c r="T37" s="183">
        <f>$B37*$S$36*(1+$H$13)*(1+$N$13)*(1+$T$13)</f>
        <v>0</v>
      </c>
      <c r="U37" s="288"/>
      <c r="V37" s="288"/>
      <c r="W37" s="288"/>
      <c r="X37" s="261"/>
      <c r="Y37" s="261"/>
      <c r="Z37" s="183">
        <f>$B37*$Y$36*(1+$H$13)*(1+$N$13)*(1+$T$13)*(1+$Z$13)</f>
        <v>0</v>
      </c>
      <c r="AA37" s="288"/>
      <c r="AB37" s="288"/>
      <c r="AC37" s="288"/>
      <c r="AD37" s="261"/>
      <c r="AE37" s="261"/>
      <c r="AF37" s="183">
        <f>$B37*$AE$36*(1+$H$13)*(1+$N$13)*(1+$T$13)*(1+$Z$13)*(1+$AF$13)</f>
        <v>0</v>
      </c>
      <c r="AG37" s="155">
        <f t="shared" ref="AG37:AG42" si="21">SUM(H37,N37,T37,Z37,AF37)</f>
        <v>0</v>
      </c>
      <c r="AH37" s="206" t="s">
        <v>80</v>
      </c>
    </row>
    <row r="38" spans="1:41" outlineLevel="1" x14ac:dyDescent="0.2">
      <c r="A38" s="258" t="s">
        <v>81</v>
      </c>
      <c r="B38" s="114"/>
      <c r="C38" s="224"/>
      <c r="D38" s="261"/>
      <c r="E38" s="261"/>
      <c r="F38" s="261"/>
      <c r="G38" s="261"/>
      <c r="H38" s="182">
        <f>B38*$G$36*(1+$H$13)</f>
        <v>0</v>
      </c>
      <c r="I38" s="287"/>
      <c r="J38" s="287"/>
      <c r="K38" s="287"/>
      <c r="L38" s="261"/>
      <c r="M38" s="261"/>
      <c r="N38" s="183">
        <f>$B38*$M$36*(1+$H$13)*(1+$N$13)</f>
        <v>0</v>
      </c>
      <c r="O38" s="288"/>
      <c r="P38" s="288"/>
      <c r="Q38" s="288"/>
      <c r="R38" s="261"/>
      <c r="S38" s="261"/>
      <c r="T38" s="183">
        <f>$B38*$S$36*(1+$H$13)*(1+$N$13)*(1+$T$13)</f>
        <v>0</v>
      </c>
      <c r="U38" s="288"/>
      <c r="V38" s="288"/>
      <c r="W38" s="288"/>
      <c r="X38" s="261"/>
      <c r="Y38" s="261"/>
      <c r="Z38" s="183">
        <f>$B38*$Y$36*(1+$H$13)*(1+$N$13)*(1+$T$13)*(1+$Z$13)</f>
        <v>0</v>
      </c>
      <c r="AA38" s="288"/>
      <c r="AB38" s="288"/>
      <c r="AC38" s="288"/>
      <c r="AD38" s="261"/>
      <c r="AE38" s="261"/>
      <c r="AF38" s="183">
        <f>$B38*$AE$36*(1+$H$13)*(1+$N$13)*(1+$T$13)*(1+$Z$13)*(1+$AF$13)</f>
        <v>0</v>
      </c>
      <c r="AG38" s="155">
        <f t="shared" si="21"/>
        <v>0</v>
      </c>
      <c r="AH38" s="206" t="s">
        <v>82</v>
      </c>
    </row>
    <row r="39" spans="1:41" outlineLevel="1" x14ac:dyDescent="0.2">
      <c r="A39" s="258" t="s">
        <v>83</v>
      </c>
      <c r="B39" s="114"/>
      <c r="C39" s="224"/>
      <c r="D39" s="261"/>
      <c r="E39" s="261"/>
      <c r="F39" s="261"/>
      <c r="G39" s="261"/>
      <c r="H39" s="182">
        <f>B39*$G$36*(1+$H$13)</f>
        <v>0</v>
      </c>
      <c r="I39" s="287"/>
      <c r="J39" s="287"/>
      <c r="K39" s="287"/>
      <c r="L39" s="261"/>
      <c r="M39" s="261"/>
      <c r="N39" s="183">
        <f>$B39*$M$36*(1+$H$13)*(1+$N$13)</f>
        <v>0</v>
      </c>
      <c r="O39" s="288"/>
      <c r="P39" s="288"/>
      <c r="Q39" s="288"/>
      <c r="R39" s="261"/>
      <c r="S39" s="261"/>
      <c r="T39" s="183">
        <f>$B39*$S$36*(1+$H$13)*(1+$N$13)*(1+$T$13)</f>
        <v>0</v>
      </c>
      <c r="U39" s="288"/>
      <c r="V39" s="288"/>
      <c r="W39" s="288"/>
      <c r="X39" s="261"/>
      <c r="Y39" s="261"/>
      <c r="Z39" s="183">
        <f>$B39*$Y$36*(1+$H$13)*(1+$N$13)*(1+$T$13)*(1+$Z$13)</f>
        <v>0</v>
      </c>
      <c r="AA39" s="288"/>
      <c r="AB39" s="288"/>
      <c r="AC39" s="288"/>
      <c r="AD39" s="261"/>
      <c r="AE39" s="261"/>
      <c r="AF39" s="183">
        <f>$B39*$AE$36*(1+$H$13)*(1+$N$13)*(1+$T$13)*(1+$Z$13)*(1+$AF$13)</f>
        <v>0</v>
      </c>
      <c r="AG39" s="155">
        <f t="shared" si="21"/>
        <v>0</v>
      </c>
      <c r="AH39" s="206" t="s">
        <v>84</v>
      </c>
    </row>
    <row r="40" spans="1:41" outlineLevel="1" x14ac:dyDescent="0.2">
      <c r="A40" s="258" t="s">
        <v>85</v>
      </c>
      <c r="B40" s="114"/>
      <c r="C40" s="224"/>
      <c r="D40" s="261"/>
      <c r="E40" s="261"/>
      <c r="F40" s="261"/>
      <c r="G40" s="261"/>
      <c r="H40" s="182">
        <f>B40*$G$36*(1+$H$13)</f>
        <v>0</v>
      </c>
      <c r="I40" s="287"/>
      <c r="J40" s="287"/>
      <c r="K40" s="287"/>
      <c r="L40" s="261"/>
      <c r="M40" s="261"/>
      <c r="N40" s="183">
        <f>$B40*$M$36*(1+$H$13)*(1+$N$13)</f>
        <v>0</v>
      </c>
      <c r="O40" s="288"/>
      <c r="P40" s="288"/>
      <c r="Q40" s="288"/>
      <c r="R40" s="261"/>
      <c r="S40" s="261"/>
      <c r="T40" s="183">
        <f>$B40*$S$36*(1+$H$13)*(1+$N$13)*(1+$T$13)</f>
        <v>0</v>
      </c>
      <c r="U40" s="288"/>
      <c r="V40" s="288"/>
      <c r="W40" s="288"/>
      <c r="X40" s="261"/>
      <c r="Y40" s="261"/>
      <c r="Z40" s="183">
        <f>$B40*$Y$36*(1+$H$13)*(1+$N$13)*(1+$T$13)*(1+$Z$13)</f>
        <v>0</v>
      </c>
      <c r="AA40" s="288"/>
      <c r="AB40" s="288"/>
      <c r="AC40" s="288"/>
      <c r="AD40" s="261"/>
      <c r="AE40" s="261"/>
      <c r="AF40" s="183">
        <f>$B40*$AE$36*(1+$H$13)*(1+$N$13)*(1+$T$13)*(1+$Z$13)*(1+$AF$13)</f>
        <v>0</v>
      </c>
      <c r="AG40" s="155">
        <f t="shared" si="21"/>
        <v>0</v>
      </c>
      <c r="AH40" s="206" t="s">
        <v>86</v>
      </c>
    </row>
    <row r="41" spans="1:41" ht="13.5" outlineLevel="1" thickBot="1" x14ac:dyDescent="0.25">
      <c r="A41" s="258" t="s">
        <v>87</v>
      </c>
      <c r="B41" s="120"/>
      <c r="C41" s="224"/>
      <c r="D41" s="261"/>
      <c r="E41" s="261"/>
      <c r="F41" s="261"/>
      <c r="G41" s="261"/>
      <c r="H41" s="184">
        <f>B41*$G$36*(1+$H$13)</f>
        <v>0</v>
      </c>
      <c r="I41" s="287"/>
      <c r="J41" s="287"/>
      <c r="K41" s="287"/>
      <c r="L41" s="261"/>
      <c r="M41" s="261"/>
      <c r="N41" s="192">
        <f>$B41*$M$36*(1+$H$13)*(1+$N$13)</f>
        <v>0</v>
      </c>
      <c r="O41" s="288"/>
      <c r="P41" s="288"/>
      <c r="Q41" s="288"/>
      <c r="R41" s="261"/>
      <c r="S41" s="261"/>
      <c r="T41" s="192">
        <f>$B41*$S$36*(1+$H$13)*(1+$N$13)*(1+$T$13)</f>
        <v>0</v>
      </c>
      <c r="U41" s="288"/>
      <c r="V41" s="288"/>
      <c r="W41" s="288"/>
      <c r="X41" s="261"/>
      <c r="Y41" s="261"/>
      <c r="Z41" s="192">
        <f>$B41*$Y$36*(1+$H$13)*(1+$N$13)*(1+$T$13)*(1+$Z$13)</f>
        <v>0</v>
      </c>
      <c r="AA41" s="288"/>
      <c r="AB41" s="288"/>
      <c r="AC41" s="288"/>
      <c r="AD41" s="261"/>
      <c r="AE41" s="261"/>
      <c r="AF41" s="192">
        <f>$B41*$AE$36*(1+$H$13)*(1+$N$13)*(1+$T$13)*(1+$Z$13)*(1+$AF$13)</f>
        <v>0</v>
      </c>
      <c r="AG41" s="156">
        <f t="shared" si="21"/>
        <v>0</v>
      </c>
      <c r="AH41" s="206" t="s">
        <v>88</v>
      </c>
    </row>
    <row r="42" spans="1:41" ht="13.5" outlineLevel="1" thickBot="1" x14ac:dyDescent="0.25">
      <c r="A42" s="282" t="s">
        <v>89</v>
      </c>
      <c r="B42" s="384"/>
      <c r="C42" s="283"/>
      <c r="D42" s="265"/>
      <c r="E42" s="265"/>
      <c r="F42" s="265"/>
      <c r="G42" s="265"/>
      <c r="H42" s="185">
        <f>SUM(H37:H41)</f>
        <v>0</v>
      </c>
      <c r="I42" s="265"/>
      <c r="J42" s="265"/>
      <c r="K42" s="265"/>
      <c r="L42" s="265"/>
      <c r="M42" s="265"/>
      <c r="N42" s="185">
        <f>SUM(N37:N41)</f>
        <v>0</v>
      </c>
      <c r="O42" s="265"/>
      <c r="P42" s="265"/>
      <c r="Q42" s="265"/>
      <c r="R42" s="265"/>
      <c r="S42" s="265"/>
      <c r="T42" s="185">
        <f>SUM(T37:T41)</f>
        <v>0</v>
      </c>
      <c r="U42" s="265"/>
      <c r="V42" s="265"/>
      <c r="W42" s="265"/>
      <c r="X42" s="265"/>
      <c r="Y42" s="265"/>
      <c r="Z42" s="185">
        <f>SUM(Z37:Z41)</f>
        <v>0</v>
      </c>
      <c r="AA42" s="265"/>
      <c r="AB42" s="265"/>
      <c r="AC42" s="265"/>
      <c r="AD42" s="265"/>
      <c r="AE42" s="265"/>
      <c r="AF42" s="185">
        <f>SUM(AF37:AF41)</f>
        <v>0</v>
      </c>
      <c r="AG42" s="152">
        <f t="shared" si="21"/>
        <v>0</v>
      </c>
      <c r="AH42" s="210" t="s">
        <v>90</v>
      </c>
    </row>
    <row r="43" spans="1:41" x14ac:dyDescent="0.2">
      <c r="A43" s="285" t="s">
        <v>91</v>
      </c>
      <c r="B43" s="819" t="s">
        <v>92</v>
      </c>
      <c r="C43" s="819"/>
      <c r="D43" s="819"/>
      <c r="E43" s="819"/>
      <c r="F43" s="819"/>
      <c r="G43" s="819"/>
      <c r="H43" s="316" t="s">
        <v>37</v>
      </c>
      <c r="I43" s="316"/>
      <c r="J43" s="316"/>
      <c r="K43" s="316"/>
      <c r="L43" s="317"/>
      <c r="M43" s="317"/>
      <c r="N43" s="316" t="s">
        <v>38</v>
      </c>
      <c r="O43" s="316"/>
      <c r="P43" s="316"/>
      <c r="Q43" s="316"/>
      <c r="R43" s="317"/>
      <c r="S43" s="317"/>
      <c r="T43" s="316" t="s">
        <v>39</v>
      </c>
      <c r="U43" s="316"/>
      <c r="V43" s="316"/>
      <c r="W43" s="316"/>
      <c r="X43" s="317"/>
      <c r="Y43" s="317"/>
      <c r="Z43" s="316" t="s">
        <v>40</v>
      </c>
      <c r="AA43" s="316"/>
      <c r="AB43" s="316"/>
      <c r="AC43" s="316"/>
      <c r="AD43" s="317"/>
      <c r="AE43" s="317"/>
      <c r="AF43" s="316" t="s">
        <v>41</v>
      </c>
      <c r="AG43" s="286"/>
      <c r="AH43" s="211" t="s">
        <v>91</v>
      </c>
    </row>
    <row r="44" spans="1:41" ht="13.5" thickBot="1" x14ac:dyDescent="0.25">
      <c r="A44" s="258" t="s">
        <v>93</v>
      </c>
      <c r="B44" s="114"/>
      <c r="C44" s="224"/>
      <c r="D44" s="261"/>
      <c r="E44" s="261"/>
      <c r="F44" s="261"/>
      <c r="G44" s="261"/>
      <c r="H44" s="117">
        <f t="shared" ref="H44:H53" si="22">$B44*(1+$H$13)</f>
        <v>0</v>
      </c>
      <c r="I44" s="293"/>
      <c r="J44" s="261"/>
      <c r="K44" s="261"/>
      <c r="L44" s="261"/>
      <c r="M44" s="261"/>
      <c r="N44" s="117">
        <f t="shared" ref="N44:N53" si="23">$B44*(1+$H$13)*(1+$N$13)</f>
        <v>0</v>
      </c>
      <c r="O44" s="261"/>
      <c r="P44" s="261"/>
      <c r="Q44" s="261"/>
      <c r="R44" s="261"/>
      <c r="S44" s="261"/>
      <c r="T44" s="117">
        <f t="shared" ref="T44:T53" si="24">$B44*(1+$H$13)*(1+$N$13)*(1+$T$13)</f>
        <v>0</v>
      </c>
      <c r="U44" s="261"/>
      <c r="V44" s="261"/>
      <c r="W44" s="261"/>
      <c r="X44" s="261"/>
      <c r="Y44" s="261"/>
      <c r="Z44" s="117">
        <f t="shared" ref="Z44:Z53" si="25">$B44*(1+$H$13)*(1+$N$13)*(1+$T$13)*(1+$Z$13)</f>
        <v>0</v>
      </c>
      <c r="AA44" s="261"/>
      <c r="AB44" s="261"/>
      <c r="AC44" s="261"/>
      <c r="AD44" s="261"/>
      <c r="AE44" s="261"/>
      <c r="AF44" s="117">
        <f t="shared" ref="AF44:AF53" si="26">$B44*(1+$H$13)*(1+$N$13)*(1+$T$13)*(1+$Z$13)*(1+$AF$13)</f>
        <v>0</v>
      </c>
      <c r="AG44" s="151">
        <f t="shared" ref="AG44:AG53" si="27">SUM(AF44,Z44,T44,N44,H44)</f>
        <v>0</v>
      </c>
      <c r="AH44" s="577" t="s">
        <v>93</v>
      </c>
    </row>
    <row r="45" spans="1:41" x14ac:dyDescent="0.2">
      <c r="A45" s="258" t="s">
        <v>94</v>
      </c>
      <c r="B45" s="114"/>
      <c r="C45" s="224"/>
      <c r="D45" s="261"/>
      <c r="E45" s="261"/>
      <c r="F45" s="261"/>
      <c r="G45" s="261"/>
      <c r="H45" s="121">
        <f t="shared" si="22"/>
        <v>0</v>
      </c>
      <c r="I45" s="293"/>
      <c r="J45" s="261"/>
      <c r="K45" s="261"/>
      <c r="L45" s="261"/>
      <c r="M45" s="261"/>
      <c r="N45" s="121">
        <f t="shared" si="23"/>
        <v>0</v>
      </c>
      <c r="O45" s="261"/>
      <c r="P45" s="261"/>
      <c r="Q45" s="261"/>
      <c r="R45" s="261"/>
      <c r="S45" s="261"/>
      <c r="T45" s="121">
        <f t="shared" si="24"/>
        <v>0</v>
      </c>
      <c r="U45" s="261"/>
      <c r="V45" s="261"/>
      <c r="W45" s="261"/>
      <c r="X45" s="261"/>
      <c r="Y45" s="261"/>
      <c r="Z45" s="121">
        <f t="shared" si="25"/>
        <v>0</v>
      </c>
      <c r="AA45" s="261"/>
      <c r="AB45" s="261"/>
      <c r="AC45" s="261"/>
      <c r="AD45" s="261"/>
      <c r="AE45" s="261"/>
      <c r="AF45" s="121">
        <f t="shared" si="26"/>
        <v>0</v>
      </c>
      <c r="AG45" s="157">
        <f t="shared" si="27"/>
        <v>0</v>
      </c>
      <c r="AH45" s="577" t="s">
        <v>94</v>
      </c>
      <c r="AJ45" s="582" t="s">
        <v>178</v>
      </c>
      <c r="AK45" s="583"/>
      <c r="AL45" s="584"/>
      <c r="AM45" s="585"/>
      <c r="AN45" s="586"/>
      <c r="AO45" s="587"/>
    </row>
    <row r="46" spans="1:41" x14ac:dyDescent="0.2">
      <c r="A46" s="258" t="s">
        <v>95</v>
      </c>
      <c r="B46" s="114"/>
      <c r="C46" s="224"/>
      <c r="D46" s="261"/>
      <c r="E46" s="261"/>
      <c r="F46" s="261"/>
      <c r="G46" s="261"/>
      <c r="H46" s="121">
        <f t="shared" si="22"/>
        <v>0</v>
      </c>
      <c r="I46" s="293"/>
      <c r="J46" s="261"/>
      <c r="K46" s="261"/>
      <c r="L46" s="261"/>
      <c r="M46" s="261"/>
      <c r="N46" s="121">
        <f t="shared" si="23"/>
        <v>0</v>
      </c>
      <c r="O46" s="261"/>
      <c r="P46" s="261"/>
      <c r="Q46" s="261"/>
      <c r="R46" s="261"/>
      <c r="S46" s="261"/>
      <c r="T46" s="121">
        <f t="shared" si="24"/>
        <v>0</v>
      </c>
      <c r="U46" s="261"/>
      <c r="V46" s="261"/>
      <c r="W46" s="261"/>
      <c r="X46" s="261"/>
      <c r="Y46" s="261"/>
      <c r="Z46" s="121">
        <f t="shared" si="25"/>
        <v>0</v>
      </c>
      <c r="AA46" s="261"/>
      <c r="AB46" s="261"/>
      <c r="AC46" s="261"/>
      <c r="AD46" s="261"/>
      <c r="AE46" s="261"/>
      <c r="AF46" s="121">
        <f t="shared" si="26"/>
        <v>0</v>
      </c>
      <c r="AG46" s="157">
        <f t="shared" si="27"/>
        <v>0</v>
      </c>
      <c r="AH46" s="577" t="s">
        <v>95</v>
      </c>
      <c r="AJ46" s="588">
        <v>0</v>
      </c>
      <c r="AK46" s="1" t="s">
        <v>179</v>
      </c>
      <c r="AO46" s="589"/>
    </row>
    <row r="47" spans="1:41" x14ac:dyDescent="0.2">
      <c r="A47" s="258" t="s">
        <v>171</v>
      </c>
      <c r="B47" s="103"/>
      <c r="C47" s="224"/>
      <c r="D47" s="224"/>
      <c r="E47" s="224"/>
      <c r="F47" s="224"/>
      <c r="G47" s="261"/>
      <c r="H47" s="121">
        <f t="shared" si="22"/>
        <v>0</v>
      </c>
      <c r="I47" s="293"/>
      <c r="J47" s="261"/>
      <c r="K47" s="261"/>
      <c r="L47" s="263"/>
      <c r="M47" s="261"/>
      <c r="N47" s="121">
        <f t="shared" si="23"/>
        <v>0</v>
      </c>
      <c r="O47" s="261"/>
      <c r="P47" s="261"/>
      <c r="Q47" s="261"/>
      <c r="R47" s="263"/>
      <c r="S47" s="261"/>
      <c r="T47" s="121">
        <f t="shared" si="24"/>
        <v>0</v>
      </c>
      <c r="U47" s="261"/>
      <c r="V47" s="261"/>
      <c r="W47" s="261"/>
      <c r="X47" s="263"/>
      <c r="Y47" s="261"/>
      <c r="Z47" s="121">
        <f t="shared" si="25"/>
        <v>0</v>
      </c>
      <c r="AA47" s="261"/>
      <c r="AB47" s="261"/>
      <c r="AC47" s="261"/>
      <c r="AD47" s="263"/>
      <c r="AE47" s="261"/>
      <c r="AF47" s="121">
        <f t="shared" si="26"/>
        <v>0</v>
      </c>
      <c r="AG47" s="157">
        <f t="shared" si="27"/>
        <v>0</v>
      </c>
      <c r="AH47" s="577" t="s">
        <v>171</v>
      </c>
      <c r="AJ47" s="588">
        <v>0</v>
      </c>
      <c r="AK47" s="1" t="s">
        <v>180</v>
      </c>
      <c r="AO47" s="589"/>
    </row>
    <row r="48" spans="1:41" x14ac:dyDescent="0.2">
      <c r="A48" s="258" t="s">
        <v>172</v>
      </c>
      <c r="B48" s="103"/>
      <c r="C48" s="224"/>
      <c r="D48" s="224"/>
      <c r="E48" s="224"/>
      <c r="F48" s="224"/>
      <c r="G48" s="261"/>
      <c r="H48" s="121">
        <f t="shared" si="22"/>
        <v>0</v>
      </c>
      <c r="I48" s="293"/>
      <c r="J48" s="261"/>
      <c r="K48" s="261"/>
      <c r="L48" s="263"/>
      <c r="M48" s="261"/>
      <c r="N48" s="121">
        <f t="shared" si="23"/>
        <v>0</v>
      </c>
      <c r="O48" s="261"/>
      <c r="P48" s="261"/>
      <c r="Q48" s="261"/>
      <c r="R48" s="263"/>
      <c r="S48" s="261"/>
      <c r="T48" s="121">
        <f t="shared" si="24"/>
        <v>0</v>
      </c>
      <c r="U48" s="261"/>
      <c r="V48" s="261"/>
      <c r="W48" s="261"/>
      <c r="X48" s="263"/>
      <c r="Y48" s="261"/>
      <c r="Z48" s="121">
        <f t="shared" si="25"/>
        <v>0</v>
      </c>
      <c r="AA48" s="261"/>
      <c r="AB48" s="261"/>
      <c r="AC48" s="261"/>
      <c r="AD48" s="263"/>
      <c r="AE48" s="261"/>
      <c r="AF48" s="121">
        <f t="shared" si="26"/>
        <v>0</v>
      </c>
      <c r="AG48" s="157">
        <f t="shared" ref="AG48" si="28">SUM(AF48,Z48,T48,N48,H48)</f>
        <v>0</v>
      </c>
      <c r="AH48" s="577" t="s">
        <v>172</v>
      </c>
      <c r="AJ48" s="588">
        <v>0</v>
      </c>
      <c r="AK48" s="1" t="s">
        <v>181</v>
      </c>
      <c r="AO48" s="589"/>
    </row>
    <row r="49" spans="1:93" x14ac:dyDescent="0.2">
      <c r="A49" s="258" t="s">
        <v>96</v>
      </c>
      <c r="B49" s="103"/>
      <c r="C49" s="224"/>
      <c r="D49" s="224"/>
      <c r="E49" s="224"/>
      <c r="F49" s="224"/>
      <c r="G49" s="261"/>
      <c r="H49" s="121">
        <f t="shared" si="22"/>
        <v>0</v>
      </c>
      <c r="I49" s="293"/>
      <c r="J49" s="261"/>
      <c r="K49" s="261"/>
      <c r="L49" s="263"/>
      <c r="M49" s="261"/>
      <c r="N49" s="121">
        <f t="shared" si="23"/>
        <v>0</v>
      </c>
      <c r="O49" s="261"/>
      <c r="P49" s="261"/>
      <c r="Q49" s="261"/>
      <c r="R49" s="263"/>
      <c r="S49" s="261"/>
      <c r="T49" s="121">
        <f t="shared" si="24"/>
        <v>0</v>
      </c>
      <c r="U49" s="261"/>
      <c r="V49" s="261"/>
      <c r="W49" s="261"/>
      <c r="X49" s="263"/>
      <c r="Y49" s="261"/>
      <c r="Z49" s="121">
        <f t="shared" si="25"/>
        <v>0</v>
      </c>
      <c r="AA49" s="261"/>
      <c r="AB49" s="261"/>
      <c r="AC49" s="261"/>
      <c r="AD49" s="263"/>
      <c r="AE49" s="261"/>
      <c r="AF49" s="121">
        <f t="shared" si="26"/>
        <v>0</v>
      </c>
      <c r="AG49" s="157">
        <f t="shared" si="27"/>
        <v>0</v>
      </c>
      <c r="AH49" s="577" t="s">
        <v>96</v>
      </c>
      <c r="AJ49" s="588">
        <v>0</v>
      </c>
      <c r="AK49" s="1" t="s">
        <v>182</v>
      </c>
      <c r="AO49" s="589"/>
    </row>
    <row r="50" spans="1:93" x14ac:dyDescent="0.2">
      <c r="A50" s="258" t="s">
        <v>173</v>
      </c>
      <c r="B50" s="103"/>
      <c r="C50" s="224"/>
      <c r="D50" s="224"/>
      <c r="E50" s="224"/>
      <c r="F50" s="224"/>
      <c r="G50" s="261"/>
      <c r="H50" s="121">
        <f t="shared" si="22"/>
        <v>0</v>
      </c>
      <c r="I50" s="293"/>
      <c r="J50" s="261"/>
      <c r="K50" s="261"/>
      <c r="L50" s="263"/>
      <c r="M50" s="261"/>
      <c r="N50" s="121">
        <f t="shared" si="23"/>
        <v>0</v>
      </c>
      <c r="O50" s="261"/>
      <c r="P50" s="261"/>
      <c r="Q50" s="261"/>
      <c r="R50" s="263"/>
      <c r="S50" s="261"/>
      <c r="T50" s="121">
        <f t="shared" si="24"/>
        <v>0</v>
      </c>
      <c r="U50" s="261"/>
      <c r="V50" s="261"/>
      <c r="W50" s="261"/>
      <c r="X50" s="263"/>
      <c r="Y50" s="261"/>
      <c r="Z50" s="121">
        <f t="shared" si="25"/>
        <v>0</v>
      </c>
      <c r="AA50" s="261"/>
      <c r="AB50" s="261"/>
      <c r="AC50" s="261"/>
      <c r="AD50" s="263"/>
      <c r="AE50" s="261"/>
      <c r="AF50" s="121">
        <f t="shared" si="26"/>
        <v>0</v>
      </c>
      <c r="AG50" s="157">
        <f t="shared" ref="AG50" si="29">SUM(AF50,Z50,T50,N50,H50)</f>
        <v>0</v>
      </c>
      <c r="AH50" s="577" t="s">
        <v>173</v>
      </c>
      <c r="AI50" s="578"/>
      <c r="AJ50" s="588">
        <v>0</v>
      </c>
      <c r="AK50" s="1" t="s">
        <v>187</v>
      </c>
      <c r="AO50" s="589"/>
    </row>
    <row r="51" spans="1:93" x14ac:dyDescent="0.2">
      <c r="A51" s="258" t="s">
        <v>177</v>
      </c>
      <c r="B51" s="103"/>
      <c r="C51" s="224"/>
      <c r="D51" s="224"/>
      <c r="E51" s="224"/>
      <c r="F51" s="224"/>
      <c r="G51" s="261"/>
      <c r="H51" s="121">
        <f t="shared" si="22"/>
        <v>0</v>
      </c>
      <c r="I51" s="293"/>
      <c r="J51" s="261"/>
      <c r="K51" s="261"/>
      <c r="L51" s="263"/>
      <c r="M51" s="261"/>
      <c r="N51" s="121">
        <f t="shared" si="23"/>
        <v>0</v>
      </c>
      <c r="O51" s="261"/>
      <c r="P51" s="261"/>
      <c r="Q51" s="261"/>
      <c r="R51" s="263"/>
      <c r="S51" s="261"/>
      <c r="T51" s="121">
        <f t="shared" si="24"/>
        <v>0</v>
      </c>
      <c r="U51" s="261"/>
      <c r="V51" s="261"/>
      <c r="W51" s="261"/>
      <c r="X51" s="263"/>
      <c r="Y51" s="261"/>
      <c r="Z51" s="121">
        <f t="shared" si="25"/>
        <v>0</v>
      </c>
      <c r="AA51" s="261"/>
      <c r="AB51" s="261"/>
      <c r="AC51" s="261"/>
      <c r="AD51" s="263"/>
      <c r="AE51" s="261"/>
      <c r="AF51" s="121">
        <f t="shared" si="26"/>
        <v>0</v>
      </c>
      <c r="AG51" s="157">
        <f t="shared" si="27"/>
        <v>0</v>
      </c>
      <c r="AH51" s="577" t="s">
        <v>177</v>
      </c>
      <c r="AJ51" s="590">
        <f>AG51</f>
        <v>0</v>
      </c>
      <c r="AK51" s="1" t="s">
        <v>183</v>
      </c>
      <c r="AO51" s="589"/>
    </row>
    <row r="52" spans="1:93" x14ac:dyDescent="0.2">
      <c r="A52" s="258" t="s">
        <v>97</v>
      </c>
      <c r="B52" s="103"/>
      <c r="C52" s="224"/>
      <c r="D52" s="224"/>
      <c r="E52" s="224"/>
      <c r="F52" s="224"/>
      <c r="G52" s="261"/>
      <c r="H52" s="121">
        <f t="shared" si="22"/>
        <v>0</v>
      </c>
      <c r="I52" s="293"/>
      <c r="J52" s="261"/>
      <c r="K52" s="261"/>
      <c r="L52" s="263"/>
      <c r="M52" s="261"/>
      <c r="N52" s="121">
        <f t="shared" si="23"/>
        <v>0</v>
      </c>
      <c r="O52" s="261"/>
      <c r="P52" s="261"/>
      <c r="Q52" s="261"/>
      <c r="R52" s="263"/>
      <c r="S52" s="261"/>
      <c r="T52" s="121">
        <f t="shared" si="24"/>
        <v>0</v>
      </c>
      <c r="U52" s="261"/>
      <c r="V52" s="261"/>
      <c r="W52" s="261"/>
      <c r="X52" s="263"/>
      <c r="Y52" s="261"/>
      <c r="Z52" s="121">
        <f t="shared" si="25"/>
        <v>0</v>
      </c>
      <c r="AA52" s="261"/>
      <c r="AB52" s="261"/>
      <c r="AC52" s="261"/>
      <c r="AD52" s="263"/>
      <c r="AE52" s="261"/>
      <c r="AF52" s="121">
        <f t="shared" si="26"/>
        <v>0</v>
      </c>
      <c r="AG52" s="157">
        <f t="shared" ref="AG52" si="30">SUM(AF52,Z52,T52,N52,H52)</f>
        <v>0</v>
      </c>
      <c r="AH52" s="577" t="s">
        <v>97</v>
      </c>
      <c r="AJ52" s="590">
        <f>SUM(AJ46:AJ51)</f>
        <v>0</v>
      </c>
      <c r="AK52" s="1" t="s">
        <v>184</v>
      </c>
      <c r="AO52" s="589"/>
    </row>
    <row r="53" spans="1:93" ht="13.5" thickBot="1" x14ac:dyDescent="0.25">
      <c r="A53" s="258" t="s">
        <v>97</v>
      </c>
      <c r="B53" s="103"/>
      <c r="C53" s="224"/>
      <c r="D53" s="224"/>
      <c r="E53" s="224"/>
      <c r="F53" s="224"/>
      <c r="G53" s="261"/>
      <c r="H53" s="121">
        <f t="shared" si="22"/>
        <v>0</v>
      </c>
      <c r="I53" s="293"/>
      <c r="J53" s="261"/>
      <c r="K53" s="261"/>
      <c r="L53" s="263"/>
      <c r="M53" s="261"/>
      <c r="N53" s="121">
        <f t="shared" si="23"/>
        <v>0</v>
      </c>
      <c r="O53" s="261"/>
      <c r="P53" s="261"/>
      <c r="Q53" s="261"/>
      <c r="R53" s="263"/>
      <c r="S53" s="261"/>
      <c r="T53" s="121">
        <f t="shared" si="24"/>
        <v>0</v>
      </c>
      <c r="U53" s="261"/>
      <c r="V53" s="261"/>
      <c r="W53" s="261"/>
      <c r="X53" s="263"/>
      <c r="Y53" s="261"/>
      <c r="Z53" s="121">
        <f t="shared" si="25"/>
        <v>0</v>
      </c>
      <c r="AA53" s="261"/>
      <c r="AB53" s="261"/>
      <c r="AC53" s="261"/>
      <c r="AD53" s="263"/>
      <c r="AE53" s="261"/>
      <c r="AF53" s="121">
        <f t="shared" si="26"/>
        <v>0</v>
      </c>
      <c r="AG53" s="157">
        <f t="shared" si="27"/>
        <v>0</v>
      </c>
      <c r="AH53" s="577" t="s">
        <v>97</v>
      </c>
      <c r="AJ53" s="595" t="e">
        <f>AJ52/AG78</f>
        <v>#DIV/0!</v>
      </c>
      <c r="AK53" s="591" t="s">
        <v>185</v>
      </c>
      <c r="AL53" s="592"/>
      <c r="AM53" s="593"/>
      <c r="AN53" s="591"/>
      <c r="AO53" s="594"/>
    </row>
    <row r="54" spans="1:93" ht="13.5" thickBot="1" x14ac:dyDescent="0.25">
      <c r="A54" s="282" t="s">
        <v>98</v>
      </c>
      <c r="B54" s="266"/>
      <c r="C54" s="266"/>
      <c r="D54" s="266"/>
      <c r="E54" s="266"/>
      <c r="F54" s="266"/>
      <c r="G54" s="265"/>
      <c r="H54" s="186">
        <f>SUM(H44:H53)</f>
        <v>0</v>
      </c>
      <c r="I54" s="284"/>
      <c r="J54" s="284"/>
      <c r="K54" s="284"/>
      <c r="L54" s="265"/>
      <c r="M54" s="265"/>
      <c r="N54" s="186">
        <f>SUM(N44:N53)</f>
        <v>0</v>
      </c>
      <c r="O54" s="284"/>
      <c r="P54" s="284"/>
      <c r="Q54" s="284"/>
      <c r="R54" s="265"/>
      <c r="S54" s="265"/>
      <c r="T54" s="186">
        <f>SUM(T44:T53)</f>
        <v>0</v>
      </c>
      <c r="U54" s="284"/>
      <c r="V54" s="284"/>
      <c r="W54" s="284"/>
      <c r="X54" s="265"/>
      <c r="Y54" s="265"/>
      <c r="Z54" s="186">
        <f>SUM(Z44:Z53)</f>
        <v>0</v>
      </c>
      <c r="AA54" s="284"/>
      <c r="AB54" s="284"/>
      <c r="AC54" s="284"/>
      <c r="AD54" s="265"/>
      <c r="AE54" s="265"/>
      <c r="AF54" s="186">
        <f>SUM(AF44:AF53)</f>
        <v>0</v>
      </c>
      <c r="AG54" s="152">
        <f>SUM(AG44:AG53)</f>
        <v>0</v>
      </c>
      <c r="AH54" s="210" t="s">
        <v>99</v>
      </c>
      <c r="AI54" s="3"/>
      <c r="AJ54" s="3"/>
      <c r="AK54" s="14"/>
    </row>
    <row r="55" spans="1:93" ht="17.25" customHeight="1" outlineLevel="1" x14ac:dyDescent="0.35">
      <c r="A55" s="294" t="s">
        <v>100</v>
      </c>
      <c r="B55" s="170" t="s">
        <v>139</v>
      </c>
      <c r="C55" s="170"/>
      <c r="D55" s="170"/>
      <c r="E55" s="170"/>
      <c r="F55" s="170"/>
      <c r="G55" s="174"/>
      <c r="H55" s="224"/>
      <c r="I55" s="224"/>
      <c r="J55" s="224"/>
      <c r="K55" s="224"/>
      <c r="L55" s="263"/>
      <c r="M55" s="261"/>
      <c r="N55" s="261"/>
      <c r="O55" s="261"/>
      <c r="P55" s="261"/>
      <c r="Q55" s="261"/>
      <c r="R55" s="263"/>
      <c r="S55" s="261"/>
      <c r="T55" s="261"/>
      <c r="U55" s="261"/>
      <c r="V55" s="261"/>
      <c r="W55" s="261"/>
      <c r="X55" s="263"/>
      <c r="Y55" s="261"/>
      <c r="Z55" s="261"/>
      <c r="AA55" s="261"/>
      <c r="AB55" s="261"/>
      <c r="AC55" s="261"/>
      <c r="AD55" s="263"/>
      <c r="AE55" s="261"/>
      <c r="AF55" s="261"/>
      <c r="AG55" s="320"/>
      <c r="AH55" s="212" t="s">
        <v>100</v>
      </c>
      <c r="AI55" s="12"/>
      <c r="AJ55" s="12"/>
      <c r="AK55" s="13"/>
      <c r="AL55" s="14"/>
      <c r="AM55" s="2"/>
      <c r="AN55" s="3"/>
    </row>
    <row r="56" spans="1:93" s="20" customFormat="1" outlineLevel="1" x14ac:dyDescent="0.2">
      <c r="A56" s="122" t="s">
        <v>102</v>
      </c>
      <c r="B56" s="385" t="s">
        <v>103</v>
      </c>
      <c r="C56" s="739"/>
      <c r="D56" s="740"/>
      <c r="E56" s="740"/>
      <c r="F56" s="740"/>
      <c r="G56" s="740"/>
      <c r="H56" s="291" t="s">
        <v>37</v>
      </c>
      <c r="I56" s="291"/>
      <c r="J56" s="291"/>
      <c r="K56" s="291"/>
      <c r="L56" s="321"/>
      <c r="M56" s="321"/>
      <c r="N56" s="291" t="s">
        <v>38</v>
      </c>
      <c r="O56" s="291"/>
      <c r="P56" s="291"/>
      <c r="Q56" s="291"/>
      <c r="R56" s="321"/>
      <c r="S56" s="321"/>
      <c r="T56" s="291" t="s">
        <v>39</v>
      </c>
      <c r="U56" s="291"/>
      <c r="V56" s="291"/>
      <c r="W56" s="291"/>
      <c r="X56" s="321"/>
      <c r="Y56" s="321"/>
      <c r="Z56" s="291" t="s">
        <v>40</v>
      </c>
      <c r="AA56" s="291"/>
      <c r="AB56" s="291"/>
      <c r="AC56" s="291"/>
      <c r="AD56" s="321"/>
      <c r="AE56" s="321"/>
      <c r="AF56" s="291" t="s">
        <v>41</v>
      </c>
      <c r="AG56" s="286"/>
      <c r="AH56" s="213"/>
      <c r="AI56" s="15"/>
      <c r="AJ56" s="15"/>
      <c r="AK56" s="16"/>
      <c r="AL56" s="17"/>
      <c r="AM56" s="18"/>
      <c r="AN56" s="19"/>
    </row>
    <row r="57" spans="1:93" s="20" customFormat="1" outlineLevel="1" x14ac:dyDescent="0.2">
      <c r="A57" s="295" t="s">
        <v>104</v>
      </c>
      <c r="B57" s="296"/>
      <c r="C57" s="297"/>
      <c r="D57" s="224"/>
      <c r="E57" s="224"/>
      <c r="F57" s="224"/>
      <c r="G57" s="298"/>
      <c r="H57" s="112"/>
      <c r="I57" s="261"/>
      <c r="J57" s="261"/>
      <c r="K57" s="261"/>
      <c r="L57" s="263"/>
      <c r="M57" s="261"/>
      <c r="N57" s="112"/>
      <c r="O57" s="261"/>
      <c r="P57" s="261"/>
      <c r="Q57" s="261"/>
      <c r="R57" s="263"/>
      <c r="S57" s="261"/>
      <c r="T57" s="112"/>
      <c r="U57" s="261"/>
      <c r="V57" s="261"/>
      <c r="W57" s="261"/>
      <c r="X57" s="263"/>
      <c r="Y57" s="261"/>
      <c r="Z57" s="112"/>
      <c r="AA57" s="261"/>
      <c r="AB57" s="261"/>
      <c r="AC57" s="261"/>
      <c r="AD57" s="263"/>
      <c r="AE57" s="261"/>
      <c r="AF57" s="112"/>
      <c r="AG57" s="158">
        <f>SUM(AF57,Z57,T57,N57,H57)</f>
        <v>0</v>
      </c>
      <c r="AH57" s="206" t="s">
        <v>104</v>
      </c>
      <c r="AI57" s="15"/>
      <c r="AJ57" s="15"/>
      <c r="AK57" s="16"/>
      <c r="AL57" s="21"/>
      <c r="AM57" s="18"/>
      <c r="AN57" s="19"/>
    </row>
    <row r="58" spans="1:93" s="27" customFormat="1" ht="13.5" outlineLevel="1" thickBot="1" x14ac:dyDescent="0.25">
      <c r="A58" s="295" t="s">
        <v>105</v>
      </c>
      <c r="B58" s="296"/>
      <c r="C58" s="299"/>
      <c r="D58" s="225"/>
      <c r="E58" s="225"/>
      <c r="F58" s="224"/>
      <c r="G58" s="298"/>
      <c r="H58" s="114"/>
      <c r="I58" s="261"/>
      <c r="J58" s="261"/>
      <c r="K58" s="261"/>
      <c r="L58" s="263"/>
      <c r="M58" s="261"/>
      <c r="N58" s="114"/>
      <c r="O58" s="261"/>
      <c r="P58" s="261"/>
      <c r="Q58" s="261"/>
      <c r="R58" s="263"/>
      <c r="S58" s="261"/>
      <c r="T58" s="114"/>
      <c r="U58" s="261"/>
      <c r="V58" s="261"/>
      <c r="W58" s="261"/>
      <c r="X58" s="263"/>
      <c r="Y58" s="261"/>
      <c r="Z58" s="114"/>
      <c r="AA58" s="261"/>
      <c r="AB58" s="261"/>
      <c r="AC58" s="261"/>
      <c r="AD58" s="263"/>
      <c r="AE58" s="261"/>
      <c r="AF58" s="114"/>
      <c r="AG58" s="158">
        <f>SUM(AF58,Z58,T58,N58,H58)</f>
        <v>0</v>
      </c>
      <c r="AH58" s="206" t="s">
        <v>105</v>
      </c>
      <c r="AI58" s="22"/>
      <c r="AJ58" s="22"/>
      <c r="AK58" s="23"/>
      <c r="AL58" s="24"/>
      <c r="AM58" s="25"/>
      <c r="AN58" s="26"/>
    </row>
    <row r="59" spans="1:93" s="27" customFormat="1" ht="13.5" outlineLevel="1" thickBot="1" x14ac:dyDescent="0.25">
      <c r="A59" s="300" t="s">
        <v>106</v>
      </c>
      <c r="B59" s="301"/>
      <c r="C59" s="815" t="s">
        <v>107</v>
      </c>
      <c r="D59" s="816"/>
      <c r="E59" s="816"/>
      <c r="F59" s="816"/>
      <c r="G59" s="193">
        <f>IF(H59&gt;=25000,25000,H59)</f>
        <v>0</v>
      </c>
      <c r="H59" s="194">
        <f>ROUND(SUM(H57:H58),0)</f>
        <v>0</v>
      </c>
      <c r="I59" s="811" t="s">
        <v>107</v>
      </c>
      <c r="J59" s="812"/>
      <c r="K59" s="812"/>
      <c r="L59" s="812"/>
      <c r="M59" s="195">
        <f>IF((N59+G59)&gt;=25000,25000-G59,N59)</f>
        <v>0</v>
      </c>
      <c r="N59" s="194">
        <f>ROUND(SUM(N57:N58),0)</f>
        <v>0</v>
      </c>
      <c r="O59" s="811" t="s">
        <v>107</v>
      </c>
      <c r="P59" s="812"/>
      <c r="Q59" s="812"/>
      <c r="R59" s="812"/>
      <c r="S59" s="195">
        <f>IF((T59+M59+G59)&gt;=25000,25000-M59-G59,T59)</f>
        <v>0</v>
      </c>
      <c r="T59" s="194">
        <f>ROUND(SUM(T57:T58),0)</f>
        <v>0</v>
      </c>
      <c r="U59" s="811" t="s">
        <v>107</v>
      </c>
      <c r="V59" s="812"/>
      <c r="W59" s="812"/>
      <c r="X59" s="812"/>
      <c r="Y59" s="195">
        <f>IF((Z59+S59+M59+G59)&gt;=25000,25000-S59-M59-G59,Z59)</f>
        <v>0</v>
      </c>
      <c r="Z59" s="194">
        <f>ROUND(SUM(Z57:Z58),0)</f>
        <v>0</v>
      </c>
      <c r="AA59" s="811" t="s">
        <v>107</v>
      </c>
      <c r="AB59" s="812"/>
      <c r="AC59" s="812"/>
      <c r="AD59" s="812"/>
      <c r="AE59" s="195">
        <f>IF((AF59+Y59+S59+M59+G59)&gt;=25000,25000-Y59-S59-M59-G59,AF59)</f>
        <v>0</v>
      </c>
      <c r="AF59" s="194">
        <f>ROUND(SUM(AF57:AF58),0)</f>
        <v>0</v>
      </c>
      <c r="AG59" s="159">
        <f>SUM(H59,N59,T59,Z59,AF59)</f>
        <v>0</v>
      </c>
      <c r="AH59" s="202" t="s">
        <v>108</v>
      </c>
      <c r="AI59" s="22"/>
      <c r="AJ59" s="22"/>
      <c r="AK59" s="23"/>
      <c r="AL59" s="24"/>
      <c r="AM59" s="25"/>
      <c r="AN59" s="26"/>
    </row>
    <row r="60" spans="1:93" s="34" customFormat="1" outlineLevel="1" x14ac:dyDescent="0.2">
      <c r="A60" s="122" t="s">
        <v>102</v>
      </c>
      <c r="B60" s="385" t="s">
        <v>109</v>
      </c>
      <c r="C60" s="739"/>
      <c r="D60" s="740"/>
      <c r="E60" s="740"/>
      <c r="F60" s="740"/>
      <c r="G60" s="740"/>
      <c r="H60" s="291" t="s">
        <v>37</v>
      </c>
      <c r="I60" s="291"/>
      <c r="J60" s="291"/>
      <c r="K60" s="291"/>
      <c r="L60" s="321"/>
      <c r="M60" s="321"/>
      <c r="N60" s="291" t="s">
        <v>38</v>
      </c>
      <c r="O60" s="291"/>
      <c r="P60" s="291"/>
      <c r="Q60" s="291"/>
      <c r="R60" s="321"/>
      <c r="S60" s="321"/>
      <c r="T60" s="291" t="s">
        <v>39</v>
      </c>
      <c r="U60" s="291"/>
      <c r="V60" s="291"/>
      <c r="W60" s="291"/>
      <c r="X60" s="321"/>
      <c r="Y60" s="321"/>
      <c r="Z60" s="291" t="s">
        <v>40</v>
      </c>
      <c r="AA60" s="291"/>
      <c r="AB60" s="291"/>
      <c r="AC60" s="291"/>
      <c r="AD60" s="321"/>
      <c r="AE60" s="321"/>
      <c r="AF60" s="291" t="s">
        <v>41</v>
      </c>
      <c r="AG60" s="286"/>
      <c r="AH60" s="214"/>
      <c r="AI60" s="28"/>
      <c r="AJ60" s="28"/>
      <c r="AK60" s="29"/>
      <c r="AL60" s="30"/>
      <c r="AM60" s="31"/>
      <c r="AN60" s="32"/>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row>
    <row r="61" spans="1:93" s="33" customFormat="1" outlineLevel="1" x14ac:dyDescent="0.2">
      <c r="A61" s="295" t="s">
        <v>104</v>
      </c>
      <c r="B61" s="303"/>
      <c r="C61" s="299"/>
      <c r="D61" s="224"/>
      <c r="E61" s="224"/>
      <c r="F61" s="224"/>
      <c r="G61" s="298"/>
      <c r="H61" s="112"/>
      <c r="I61" s="261"/>
      <c r="J61" s="261"/>
      <c r="K61" s="261"/>
      <c r="L61" s="263"/>
      <c r="M61" s="261"/>
      <c r="N61" s="112"/>
      <c r="O61" s="261"/>
      <c r="P61" s="261"/>
      <c r="Q61" s="261"/>
      <c r="R61" s="263"/>
      <c r="S61" s="261"/>
      <c r="T61" s="112"/>
      <c r="U61" s="261"/>
      <c r="V61" s="261"/>
      <c r="W61" s="261"/>
      <c r="X61" s="263"/>
      <c r="Y61" s="261"/>
      <c r="Z61" s="112"/>
      <c r="AA61" s="261"/>
      <c r="AB61" s="261"/>
      <c r="AC61" s="261"/>
      <c r="AD61" s="263"/>
      <c r="AE61" s="261"/>
      <c r="AF61" s="112"/>
      <c r="AG61" s="158">
        <f>SUM(AF61,Z61,T61,N61,H61)</f>
        <v>0</v>
      </c>
      <c r="AH61" s="200" t="s">
        <v>104</v>
      </c>
      <c r="AI61" s="28"/>
      <c r="AJ61" s="28"/>
      <c r="AK61" s="35"/>
      <c r="AL61" s="30"/>
      <c r="AM61" s="31"/>
      <c r="AN61" s="32"/>
    </row>
    <row r="62" spans="1:93" s="33" customFormat="1" ht="13.5" outlineLevel="1" thickBot="1" x14ac:dyDescent="0.25">
      <c r="A62" s="295" t="s">
        <v>105</v>
      </c>
      <c r="B62" s="303"/>
      <c r="C62" s="299"/>
      <c r="D62" s="224"/>
      <c r="E62" s="224"/>
      <c r="F62" s="224"/>
      <c r="G62" s="298"/>
      <c r="H62" s="114"/>
      <c r="I62" s="261"/>
      <c r="J62" s="261"/>
      <c r="K62" s="261"/>
      <c r="L62" s="263"/>
      <c r="M62" s="261"/>
      <c r="N62" s="114"/>
      <c r="O62" s="261"/>
      <c r="P62" s="261"/>
      <c r="Q62" s="261"/>
      <c r="R62" s="263"/>
      <c r="S62" s="261"/>
      <c r="T62" s="114"/>
      <c r="U62" s="261"/>
      <c r="V62" s="261"/>
      <c r="W62" s="261"/>
      <c r="X62" s="263"/>
      <c r="Y62" s="261"/>
      <c r="Z62" s="114"/>
      <c r="AA62" s="261"/>
      <c r="AB62" s="261"/>
      <c r="AC62" s="261"/>
      <c r="AD62" s="263"/>
      <c r="AE62" s="261"/>
      <c r="AF62" s="114"/>
      <c r="AG62" s="158">
        <f>SUM(AF62,Z62,T62,N62,H62)</f>
        <v>0</v>
      </c>
      <c r="AH62" s="200" t="s">
        <v>105</v>
      </c>
      <c r="AI62" s="36"/>
      <c r="AJ62" s="36"/>
      <c r="AK62" s="62"/>
      <c r="AL62" s="30"/>
      <c r="AM62" s="31"/>
      <c r="AN62" s="32"/>
    </row>
    <row r="63" spans="1:93" s="33" customFormat="1" ht="13.5" outlineLevel="1" thickBot="1" x14ac:dyDescent="0.25">
      <c r="A63" s="300" t="s">
        <v>110</v>
      </c>
      <c r="B63" s="304"/>
      <c r="C63" s="815" t="s">
        <v>107</v>
      </c>
      <c r="D63" s="816"/>
      <c r="E63" s="816"/>
      <c r="F63" s="816"/>
      <c r="G63" s="193">
        <f>IF(H63&gt;=25000,25000,H63)</f>
        <v>0</v>
      </c>
      <c r="H63" s="194">
        <f>ROUND(SUM(H61:H62),0)</f>
        <v>0</v>
      </c>
      <c r="I63" s="811" t="s">
        <v>107</v>
      </c>
      <c r="J63" s="812"/>
      <c r="K63" s="812"/>
      <c r="L63" s="812"/>
      <c r="M63" s="195">
        <f>IF((N63+G63)&gt;=25000,25000-G63,N63)</f>
        <v>0</v>
      </c>
      <c r="N63" s="194">
        <f>ROUND(SUM(N61:N62),0)</f>
        <v>0</v>
      </c>
      <c r="O63" s="811" t="s">
        <v>107</v>
      </c>
      <c r="P63" s="812"/>
      <c r="Q63" s="812"/>
      <c r="R63" s="812"/>
      <c r="S63" s="195">
        <f>IF((T63+M63+G63)&gt;=25000,25000-M63-G63,T63)</f>
        <v>0</v>
      </c>
      <c r="T63" s="194">
        <f>ROUND(SUM(T61:T62),0)</f>
        <v>0</v>
      </c>
      <c r="U63" s="811" t="s">
        <v>107</v>
      </c>
      <c r="V63" s="812"/>
      <c r="W63" s="812"/>
      <c r="X63" s="812"/>
      <c r="Y63" s="195">
        <f>IF((Z63+S63+M63+G63)&gt;=25000,25000-S63-M63-G63,Z63)</f>
        <v>0</v>
      </c>
      <c r="Z63" s="194">
        <f>ROUND(SUM(Z61:Z62),0)</f>
        <v>0</v>
      </c>
      <c r="AA63" s="811" t="s">
        <v>107</v>
      </c>
      <c r="AB63" s="812"/>
      <c r="AC63" s="812"/>
      <c r="AD63" s="812"/>
      <c r="AE63" s="195">
        <f>IF((AF63+Y63+S63+M63+G63)&gt;=25000,25000-Y63-S63-M63-G63,AF63)</f>
        <v>0</v>
      </c>
      <c r="AF63" s="194">
        <f>ROUND(SUM(AF61:AF62),0)</f>
        <v>0</v>
      </c>
      <c r="AG63" s="159">
        <f>SUM(H63,N63,T63,Z63,AF63)</f>
        <v>0</v>
      </c>
      <c r="AH63" s="202" t="s">
        <v>111</v>
      </c>
      <c r="AI63" s="36"/>
      <c r="AJ63" s="36"/>
      <c r="AK63" s="62"/>
      <c r="AL63" s="30"/>
      <c r="AM63" s="31"/>
      <c r="AN63" s="32"/>
    </row>
    <row r="64" spans="1:93" s="33" customFormat="1" outlineLevel="1" x14ac:dyDescent="0.2">
      <c r="A64" s="122" t="s">
        <v>102</v>
      </c>
      <c r="B64" s="385" t="s">
        <v>112</v>
      </c>
      <c r="C64" s="805"/>
      <c r="D64" s="806"/>
      <c r="E64" s="806"/>
      <c r="F64" s="806"/>
      <c r="G64" s="806"/>
      <c r="H64" s="291" t="s">
        <v>37</v>
      </c>
      <c r="I64" s="291"/>
      <c r="J64" s="291"/>
      <c r="K64" s="291"/>
      <c r="L64" s="321"/>
      <c r="M64" s="321"/>
      <c r="N64" s="291" t="s">
        <v>38</v>
      </c>
      <c r="O64" s="291"/>
      <c r="P64" s="291"/>
      <c r="Q64" s="291"/>
      <c r="R64" s="321"/>
      <c r="S64" s="321"/>
      <c r="T64" s="291" t="s">
        <v>39</v>
      </c>
      <c r="U64" s="291"/>
      <c r="V64" s="291"/>
      <c r="W64" s="291"/>
      <c r="X64" s="321"/>
      <c r="Y64" s="321"/>
      <c r="Z64" s="291" t="s">
        <v>40</v>
      </c>
      <c r="AA64" s="291"/>
      <c r="AB64" s="291"/>
      <c r="AC64" s="291"/>
      <c r="AD64" s="321"/>
      <c r="AE64" s="321"/>
      <c r="AF64" s="291" t="s">
        <v>41</v>
      </c>
      <c r="AG64" s="286"/>
      <c r="AH64" s="202"/>
      <c r="AI64" s="36"/>
      <c r="AJ64" s="36"/>
      <c r="AK64" s="62"/>
      <c r="AL64" s="30"/>
      <c r="AM64" s="31"/>
      <c r="AN64" s="32"/>
    </row>
    <row r="65" spans="1:93" s="33" customFormat="1" outlineLevel="1" x14ac:dyDescent="0.2">
      <c r="A65" s="295" t="s">
        <v>104</v>
      </c>
      <c r="B65" s="306"/>
      <c r="C65" s="299"/>
      <c r="D65" s="224"/>
      <c r="E65" s="224"/>
      <c r="F65" s="224"/>
      <c r="G65" s="298"/>
      <c r="H65" s="112"/>
      <c r="I65" s="261"/>
      <c r="J65" s="261"/>
      <c r="K65" s="261"/>
      <c r="L65" s="263"/>
      <c r="M65" s="261"/>
      <c r="N65" s="112"/>
      <c r="O65" s="261"/>
      <c r="P65" s="261"/>
      <c r="Q65" s="261"/>
      <c r="R65" s="263"/>
      <c r="S65" s="261"/>
      <c r="T65" s="112"/>
      <c r="U65" s="261"/>
      <c r="V65" s="261"/>
      <c r="W65" s="261"/>
      <c r="X65" s="263"/>
      <c r="Y65" s="261"/>
      <c r="Z65" s="112"/>
      <c r="AA65" s="261"/>
      <c r="AB65" s="261"/>
      <c r="AC65" s="261"/>
      <c r="AD65" s="263"/>
      <c r="AE65" s="261"/>
      <c r="AF65" s="112"/>
      <c r="AG65" s="158">
        <f>SUM(AF65,Z65,T65,N65,H65)</f>
        <v>0</v>
      </c>
      <c r="AH65" s="215" t="s">
        <v>104</v>
      </c>
      <c r="AI65" s="36"/>
      <c r="AJ65" s="36"/>
      <c r="AK65" s="62"/>
      <c r="AL65" s="30"/>
      <c r="AM65" s="31"/>
      <c r="AN65" s="32"/>
    </row>
    <row r="66" spans="1:93" s="33" customFormat="1" ht="13.5" outlineLevel="1" thickBot="1" x14ac:dyDescent="0.25">
      <c r="A66" s="295" t="s">
        <v>105</v>
      </c>
      <c r="B66" s="306"/>
      <c r="C66" s="299"/>
      <c r="D66" s="225"/>
      <c r="E66" s="225"/>
      <c r="F66" s="224"/>
      <c r="G66" s="298"/>
      <c r="H66" s="114"/>
      <c r="I66" s="261"/>
      <c r="J66" s="261"/>
      <c r="K66" s="261"/>
      <c r="L66" s="263"/>
      <c r="M66" s="261"/>
      <c r="N66" s="114"/>
      <c r="O66" s="261"/>
      <c r="P66" s="261"/>
      <c r="Q66" s="261"/>
      <c r="R66" s="263"/>
      <c r="S66" s="261"/>
      <c r="T66" s="114"/>
      <c r="U66" s="261"/>
      <c r="V66" s="261"/>
      <c r="W66" s="261"/>
      <c r="X66" s="263"/>
      <c r="Y66" s="261"/>
      <c r="Z66" s="114"/>
      <c r="AA66" s="261"/>
      <c r="AB66" s="261"/>
      <c r="AC66" s="261"/>
      <c r="AD66" s="263"/>
      <c r="AE66" s="261"/>
      <c r="AF66" s="114"/>
      <c r="AG66" s="158">
        <f>SUM(AF66,Z66,T66,N66,H66)</f>
        <v>0</v>
      </c>
      <c r="AH66" s="215" t="s">
        <v>105</v>
      </c>
      <c r="AI66" s="36"/>
      <c r="AJ66" s="36"/>
      <c r="AK66" s="62"/>
      <c r="AL66" s="30"/>
      <c r="AM66" s="31"/>
      <c r="AN66" s="32"/>
    </row>
    <row r="67" spans="1:93" s="33" customFormat="1" ht="13.5" outlineLevel="1" thickBot="1" x14ac:dyDescent="0.25">
      <c r="A67" s="300" t="s">
        <v>113</v>
      </c>
      <c r="B67" s="307"/>
      <c r="C67" s="815" t="s">
        <v>107</v>
      </c>
      <c r="D67" s="816"/>
      <c r="E67" s="816"/>
      <c r="F67" s="816"/>
      <c r="G67" s="193">
        <f>IF(H67&gt;=25000,25000,H67)</f>
        <v>0</v>
      </c>
      <c r="H67" s="194">
        <f>ROUND(SUM(H65:H66),0)</f>
        <v>0</v>
      </c>
      <c r="I67" s="811" t="s">
        <v>107</v>
      </c>
      <c r="J67" s="812"/>
      <c r="K67" s="812"/>
      <c r="L67" s="812"/>
      <c r="M67" s="195">
        <f>IF((N67+G67)&gt;=25000,25000-G67,N67)</f>
        <v>0</v>
      </c>
      <c r="N67" s="194">
        <f>ROUND(SUM(N65:N66),0)</f>
        <v>0</v>
      </c>
      <c r="O67" s="811" t="s">
        <v>107</v>
      </c>
      <c r="P67" s="812"/>
      <c r="Q67" s="812"/>
      <c r="R67" s="812"/>
      <c r="S67" s="195">
        <f>IF((T67+M67+G67)&gt;=25000,25000-M67-G67,T67)</f>
        <v>0</v>
      </c>
      <c r="T67" s="194">
        <f>ROUND(SUM(T65:T66),0)</f>
        <v>0</v>
      </c>
      <c r="U67" s="811" t="s">
        <v>107</v>
      </c>
      <c r="V67" s="812"/>
      <c r="W67" s="812"/>
      <c r="X67" s="812"/>
      <c r="Y67" s="195">
        <f>IF((Z67+S67+M67+G67)&gt;=25000,25000-S67-M67-G67,Z67)</f>
        <v>0</v>
      </c>
      <c r="Z67" s="194">
        <f>ROUND(SUM(Z65:Z66),0)</f>
        <v>0</v>
      </c>
      <c r="AA67" s="811" t="s">
        <v>107</v>
      </c>
      <c r="AB67" s="812"/>
      <c r="AC67" s="812"/>
      <c r="AD67" s="812"/>
      <c r="AE67" s="195">
        <f>IF((AF67+Y67+S67+M67+G67)&gt;=25000,25000-Y67-S67-M67-G67,AF67)</f>
        <v>0</v>
      </c>
      <c r="AF67" s="194">
        <f>ROUND(SUM(AF65:AF66),0)</f>
        <v>0</v>
      </c>
      <c r="AG67" s="159">
        <f>SUM(H67,N67,T67,Z67,AF67)</f>
        <v>0</v>
      </c>
      <c r="AH67" s="202" t="s">
        <v>114</v>
      </c>
      <c r="AI67" s="36"/>
      <c r="AJ67" s="36"/>
      <c r="AK67" s="62"/>
      <c r="AL67" s="30"/>
      <c r="AM67" s="31"/>
      <c r="AN67" s="32"/>
    </row>
    <row r="68" spans="1:93" s="33" customFormat="1" outlineLevel="1" x14ac:dyDescent="0.2">
      <c r="A68" s="122" t="s">
        <v>102</v>
      </c>
      <c r="B68" s="385" t="s">
        <v>115</v>
      </c>
      <c r="C68" s="805"/>
      <c r="D68" s="806"/>
      <c r="E68" s="806"/>
      <c r="F68" s="806"/>
      <c r="G68" s="806"/>
      <c r="H68" s="291" t="s">
        <v>37</v>
      </c>
      <c r="I68" s="291"/>
      <c r="J68" s="291"/>
      <c r="K68" s="291"/>
      <c r="L68" s="321"/>
      <c r="M68" s="321"/>
      <c r="N68" s="291" t="s">
        <v>38</v>
      </c>
      <c r="O68" s="291"/>
      <c r="P68" s="291"/>
      <c r="Q68" s="291"/>
      <c r="R68" s="321"/>
      <c r="S68" s="321"/>
      <c r="T68" s="291" t="s">
        <v>39</v>
      </c>
      <c r="U68" s="291"/>
      <c r="V68" s="291"/>
      <c r="W68" s="291"/>
      <c r="X68" s="321"/>
      <c r="Y68" s="321"/>
      <c r="Z68" s="291" t="s">
        <v>40</v>
      </c>
      <c r="AA68" s="291"/>
      <c r="AB68" s="291"/>
      <c r="AC68" s="291"/>
      <c r="AD68" s="321"/>
      <c r="AE68" s="321"/>
      <c r="AF68" s="291" t="s">
        <v>41</v>
      </c>
      <c r="AG68" s="286"/>
      <c r="AH68" s="202"/>
      <c r="AI68" s="36"/>
      <c r="AJ68" s="36"/>
      <c r="AK68" s="62"/>
      <c r="AL68" s="30"/>
      <c r="AM68" s="31"/>
      <c r="AN68" s="32"/>
    </row>
    <row r="69" spans="1:93" s="33" customFormat="1" outlineLevel="1" x14ac:dyDescent="0.2">
      <c r="A69" s="295" t="s">
        <v>104</v>
      </c>
      <c r="B69" s="306"/>
      <c r="C69" s="299"/>
      <c r="D69" s="224"/>
      <c r="E69" s="224"/>
      <c r="F69" s="224"/>
      <c r="G69" s="298"/>
      <c r="H69" s="112"/>
      <c r="I69" s="261"/>
      <c r="J69" s="261"/>
      <c r="K69" s="261"/>
      <c r="L69" s="263"/>
      <c r="M69" s="261"/>
      <c r="N69" s="112"/>
      <c r="O69" s="261"/>
      <c r="P69" s="261"/>
      <c r="Q69" s="261"/>
      <c r="R69" s="263"/>
      <c r="S69" s="261"/>
      <c r="T69" s="112"/>
      <c r="U69" s="261"/>
      <c r="V69" s="261"/>
      <c r="W69" s="261"/>
      <c r="X69" s="263"/>
      <c r="Y69" s="261"/>
      <c r="Z69" s="112"/>
      <c r="AA69" s="261"/>
      <c r="AB69" s="261"/>
      <c r="AC69" s="261"/>
      <c r="AD69" s="263"/>
      <c r="AE69" s="261"/>
      <c r="AF69" s="112"/>
      <c r="AG69" s="158">
        <f>SUM(AF69,Z69,T69,N69,H69)</f>
        <v>0</v>
      </c>
      <c r="AH69" s="215" t="s">
        <v>104</v>
      </c>
      <c r="AI69" s="36"/>
      <c r="AJ69" s="36"/>
      <c r="AK69" s="62"/>
      <c r="AL69" s="30"/>
      <c r="AM69" s="31"/>
      <c r="AN69" s="32"/>
    </row>
    <row r="70" spans="1:93" s="33" customFormat="1" ht="13.5" outlineLevel="1" thickBot="1" x14ac:dyDescent="0.25">
      <c r="A70" s="295" t="s">
        <v>105</v>
      </c>
      <c r="B70" s="306"/>
      <c r="C70" s="299"/>
      <c r="D70" s="225"/>
      <c r="E70" s="225"/>
      <c r="F70" s="224"/>
      <c r="G70" s="298"/>
      <c r="H70" s="114"/>
      <c r="I70" s="261"/>
      <c r="J70" s="261"/>
      <c r="K70" s="261"/>
      <c r="L70" s="263"/>
      <c r="M70" s="261"/>
      <c r="N70" s="114"/>
      <c r="O70" s="261"/>
      <c r="P70" s="261"/>
      <c r="Q70" s="261"/>
      <c r="R70" s="263"/>
      <c r="S70" s="261"/>
      <c r="T70" s="114"/>
      <c r="U70" s="261"/>
      <c r="V70" s="261"/>
      <c r="W70" s="261"/>
      <c r="X70" s="263"/>
      <c r="Y70" s="261"/>
      <c r="Z70" s="114"/>
      <c r="AA70" s="261"/>
      <c r="AB70" s="261"/>
      <c r="AC70" s="261"/>
      <c r="AD70" s="263"/>
      <c r="AE70" s="261"/>
      <c r="AF70" s="114"/>
      <c r="AG70" s="158">
        <f>SUM(AF70,Z70,T70,N70,H70)</f>
        <v>0</v>
      </c>
      <c r="AH70" s="215" t="s">
        <v>105</v>
      </c>
      <c r="AI70" s="36"/>
      <c r="AJ70" s="36"/>
      <c r="AK70" s="62"/>
      <c r="AL70" s="30"/>
      <c r="AM70" s="31"/>
      <c r="AN70" s="32"/>
    </row>
    <row r="71" spans="1:93" s="33" customFormat="1" ht="13.5" outlineLevel="1" thickBot="1" x14ac:dyDescent="0.25">
      <c r="A71" s="300" t="s">
        <v>116</v>
      </c>
      <c r="B71" s="307"/>
      <c r="C71" s="815" t="s">
        <v>107</v>
      </c>
      <c r="D71" s="816"/>
      <c r="E71" s="816"/>
      <c r="F71" s="816"/>
      <c r="G71" s="193">
        <f>IF(H71&gt;=25000,25000,H71)</f>
        <v>0</v>
      </c>
      <c r="H71" s="194">
        <f>ROUND(SUM(H69:H70),0)</f>
        <v>0</v>
      </c>
      <c r="I71" s="811" t="s">
        <v>107</v>
      </c>
      <c r="J71" s="812"/>
      <c r="K71" s="812"/>
      <c r="L71" s="812"/>
      <c r="M71" s="195">
        <f>IF((N71+G71)&gt;=25000,25000-G71,N71)</f>
        <v>0</v>
      </c>
      <c r="N71" s="194">
        <f>ROUND(SUM(N69:N70),0)</f>
        <v>0</v>
      </c>
      <c r="O71" s="811" t="s">
        <v>107</v>
      </c>
      <c r="P71" s="812"/>
      <c r="Q71" s="812"/>
      <c r="R71" s="812"/>
      <c r="S71" s="195">
        <f>IF((T71+M71+G71)&gt;=25000,25000-M71-G71,T71)</f>
        <v>0</v>
      </c>
      <c r="T71" s="194">
        <f>ROUND(SUM(T69:T70),0)</f>
        <v>0</v>
      </c>
      <c r="U71" s="811" t="s">
        <v>107</v>
      </c>
      <c r="V71" s="812"/>
      <c r="W71" s="812"/>
      <c r="X71" s="812"/>
      <c r="Y71" s="195">
        <f>IF((Z71+S71+M71+G71)&gt;=25000,25000-S71-M71-G71,Z71)</f>
        <v>0</v>
      </c>
      <c r="Z71" s="194">
        <f>ROUND(SUM(Z69:Z70),0)</f>
        <v>0</v>
      </c>
      <c r="AA71" s="811" t="s">
        <v>107</v>
      </c>
      <c r="AB71" s="812"/>
      <c r="AC71" s="812"/>
      <c r="AD71" s="812"/>
      <c r="AE71" s="195">
        <f>IF((AF71+Y71+S71+M71+G71)&gt;=25000,25000-Y71-S71-M71-G71,AF71)</f>
        <v>0</v>
      </c>
      <c r="AF71" s="194">
        <f>ROUND(SUM(AF69:AF70),0)</f>
        <v>0</v>
      </c>
      <c r="AG71" s="159">
        <f>SUM(H71,N71,T71,Z71,AF71)</f>
        <v>0</v>
      </c>
      <c r="AH71" s="202" t="s">
        <v>117</v>
      </c>
      <c r="AI71" s="36"/>
      <c r="AJ71" s="36"/>
      <c r="AK71" s="62"/>
      <c r="AL71" s="30"/>
      <c r="AM71" s="31"/>
      <c r="AN71" s="32"/>
    </row>
    <row r="72" spans="1:93" s="40" customFormat="1" outlineLevel="1" x14ac:dyDescent="0.2">
      <c r="A72" s="122" t="s">
        <v>102</v>
      </c>
      <c r="B72" s="385" t="s">
        <v>174</v>
      </c>
      <c r="C72" s="805"/>
      <c r="D72" s="806"/>
      <c r="E72" s="806"/>
      <c r="F72" s="806"/>
      <c r="G72" s="806"/>
      <c r="H72" s="291" t="s">
        <v>37</v>
      </c>
      <c r="I72" s="291"/>
      <c r="J72" s="291"/>
      <c r="K72" s="291"/>
      <c r="L72" s="321"/>
      <c r="M72" s="321"/>
      <c r="N72" s="291" t="s">
        <v>38</v>
      </c>
      <c r="O72" s="291"/>
      <c r="P72" s="291"/>
      <c r="Q72" s="291"/>
      <c r="R72" s="321"/>
      <c r="S72" s="321"/>
      <c r="T72" s="291" t="s">
        <v>39</v>
      </c>
      <c r="U72" s="291"/>
      <c r="V72" s="291"/>
      <c r="W72" s="291"/>
      <c r="X72" s="321"/>
      <c r="Y72" s="321"/>
      <c r="Z72" s="291" t="s">
        <v>40</v>
      </c>
      <c r="AA72" s="291"/>
      <c r="AB72" s="291"/>
      <c r="AC72" s="291"/>
      <c r="AD72" s="321"/>
      <c r="AE72" s="321"/>
      <c r="AF72" s="291" t="s">
        <v>41</v>
      </c>
      <c r="AG72" s="286"/>
      <c r="AH72" s="216"/>
      <c r="AI72" s="63"/>
      <c r="AJ72" s="63"/>
      <c r="AK72" s="63"/>
      <c r="AL72" s="64"/>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42" customFormat="1" outlineLevel="1" x14ac:dyDescent="0.2">
      <c r="A73" s="295" t="s">
        <v>104</v>
      </c>
      <c r="B73" s="306"/>
      <c r="C73" s="299"/>
      <c r="D73" s="224"/>
      <c r="E73" s="224"/>
      <c r="F73" s="224"/>
      <c r="G73" s="298"/>
      <c r="H73" s="112"/>
      <c r="I73" s="261"/>
      <c r="J73" s="261"/>
      <c r="K73" s="261"/>
      <c r="L73" s="263"/>
      <c r="M73" s="261"/>
      <c r="N73" s="112"/>
      <c r="O73" s="261"/>
      <c r="P73" s="261"/>
      <c r="Q73" s="261"/>
      <c r="R73" s="263"/>
      <c r="S73" s="261"/>
      <c r="T73" s="112"/>
      <c r="U73" s="261"/>
      <c r="V73" s="261"/>
      <c r="W73" s="261"/>
      <c r="X73" s="263"/>
      <c r="Y73" s="261"/>
      <c r="Z73" s="112"/>
      <c r="AA73" s="261"/>
      <c r="AB73" s="261"/>
      <c r="AC73" s="261"/>
      <c r="AD73" s="263"/>
      <c r="AE73" s="261"/>
      <c r="AF73" s="112"/>
      <c r="AG73" s="158">
        <f>SUM(AF73,Z73,T73,N73,H73)</f>
        <v>0</v>
      </c>
      <c r="AH73" s="215" t="s">
        <v>104</v>
      </c>
      <c r="AI73" s="41"/>
      <c r="AL73" s="41"/>
      <c r="AM73" s="43"/>
      <c r="AN73" s="44"/>
    </row>
    <row r="74" spans="1:93" s="39" customFormat="1" ht="13.5" outlineLevel="1" thickBot="1" x14ac:dyDescent="0.25">
      <c r="A74" s="295" t="s">
        <v>105</v>
      </c>
      <c r="B74" s="306"/>
      <c r="C74" s="299"/>
      <c r="D74" s="225"/>
      <c r="E74" s="225"/>
      <c r="F74" s="224"/>
      <c r="G74" s="298"/>
      <c r="H74" s="114"/>
      <c r="I74" s="261"/>
      <c r="J74" s="261"/>
      <c r="K74" s="261"/>
      <c r="L74" s="263"/>
      <c r="M74" s="261"/>
      <c r="N74" s="114"/>
      <c r="O74" s="261"/>
      <c r="P74" s="261"/>
      <c r="Q74" s="261"/>
      <c r="R74" s="263"/>
      <c r="S74" s="261"/>
      <c r="T74" s="114"/>
      <c r="U74" s="261"/>
      <c r="V74" s="261"/>
      <c r="W74" s="261"/>
      <c r="X74" s="263"/>
      <c r="Y74" s="261"/>
      <c r="Z74" s="114"/>
      <c r="AA74" s="261"/>
      <c r="AB74" s="261"/>
      <c r="AC74" s="261"/>
      <c r="AD74" s="263"/>
      <c r="AE74" s="261"/>
      <c r="AF74" s="114"/>
      <c r="AG74" s="158">
        <f>SUM(AF74,Z74,T74,N74,H74)</f>
        <v>0</v>
      </c>
      <c r="AH74" s="215" t="s">
        <v>105</v>
      </c>
      <c r="AI74" s="45"/>
      <c r="AJ74" s="45"/>
      <c r="AK74" s="46"/>
      <c r="AL74" s="47"/>
      <c r="AM74" s="37"/>
      <c r="AN74" s="38"/>
    </row>
    <row r="75" spans="1:93" s="40" customFormat="1" ht="13.5" outlineLevel="1" thickBot="1" x14ac:dyDescent="0.25">
      <c r="A75" s="308" t="s">
        <v>175</v>
      </c>
      <c r="B75" s="309"/>
      <c r="C75" s="807" t="s">
        <v>107</v>
      </c>
      <c r="D75" s="808"/>
      <c r="E75" s="808"/>
      <c r="F75" s="808"/>
      <c r="G75" s="187">
        <f>IF(H75&gt;=25000,25000,H75)</f>
        <v>0</v>
      </c>
      <c r="H75" s="197">
        <f>ROUND(SUM(H73:H74),0)</f>
        <v>0</v>
      </c>
      <c r="I75" s="809" t="s">
        <v>107</v>
      </c>
      <c r="J75" s="810"/>
      <c r="K75" s="810"/>
      <c r="L75" s="810"/>
      <c r="M75" s="188">
        <f>IF((N75+G75)&gt;=25000,25000-G75,N75)</f>
        <v>0</v>
      </c>
      <c r="N75" s="197">
        <f>ROUND(SUM(N73:N74),0)</f>
        <v>0</v>
      </c>
      <c r="O75" s="809" t="s">
        <v>107</v>
      </c>
      <c r="P75" s="810"/>
      <c r="Q75" s="810"/>
      <c r="R75" s="810"/>
      <c r="S75" s="188">
        <f>IF((T75+M75+G75)&gt;=25000,25000-M75-G75,T75)</f>
        <v>0</v>
      </c>
      <c r="T75" s="197">
        <f>ROUND(SUM(T73:T74),0)</f>
        <v>0</v>
      </c>
      <c r="U75" s="809" t="s">
        <v>107</v>
      </c>
      <c r="V75" s="810"/>
      <c r="W75" s="810"/>
      <c r="X75" s="810"/>
      <c r="Y75" s="188">
        <f>IF((Z75+S75+M75+G75)&gt;=25000,25000-S75-M75-G75,Z75)</f>
        <v>0</v>
      </c>
      <c r="Z75" s="197">
        <f>ROUND(SUM(Z73:Z74),0)</f>
        <v>0</v>
      </c>
      <c r="AA75" s="809" t="s">
        <v>107</v>
      </c>
      <c r="AB75" s="810"/>
      <c r="AC75" s="810"/>
      <c r="AD75" s="810"/>
      <c r="AE75" s="188">
        <f>IF((AF75+Y75+S75+M75+G75)&gt;=25000,25000-Y75-S75-M75-G75,AF75)</f>
        <v>0</v>
      </c>
      <c r="AF75" s="197">
        <f>ROUND(SUM(AF73:AF74),0)</f>
        <v>0</v>
      </c>
      <c r="AG75" s="160">
        <f>SUM(H75,N75,T75,Z75,AF75)</f>
        <v>0</v>
      </c>
      <c r="AH75" s="202" t="s">
        <v>176</v>
      </c>
      <c r="AI75" s="45"/>
      <c r="AJ75" s="45"/>
      <c r="AK75" s="46"/>
      <c r="AL75" s="47"/>
      <c r="AM75" s="37"/>
      <c r="AN75" s="38"/>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row>
    <row r="76" spans="1:93" s="39" customFormat="1" ht="13.5" thickTop="1" x14ac:dyDescent="0.2">
      <c r="A76" s="161" t="s">
        <v>47</v>
      </c>
      <c r="B76" s="144"/>
      <c r="C76" s="711"/>
      <c r="D76" s="712"/>
      <c r="E76" s="712"/>
      <c r="F76" s="712"/>
      <c r="G76" s="712"/>
      <c r="H76" s="162" t="s">
        <v>37</v>
      </c>
      <c r="I76" s="754"/>
      <c r="J76" s="755"/>
      <c r="K76" s="755"/>
      <c r="L76" s="755"/>
      <c r="M76" s="755"/>
      <c r="N76" s="162" t="s">
        <v>38</v>
      </c>
      <c r="O76" s="754"/>
      <c r="P76" s="755"/>
      <c r="Q76" s="755"/>
      <c r="R76" s="755"/>
      <c r="S76" s="755"/>
      <c r="T76" s="162" t="s">
        <v>39</v>
      </c>
      <c r="U76" s="754"/>
      <c r="V76" s="755"/>
      <c r="W76" s="755"/>
      <c r="X76" s="755"/>
      <c r="Y76" s="755"/>
      <c r="Z76" s="162" t="s">
        <v>40</v>
      </c>
      <c r="AA76" s="754"/>
      <c r="AB76" s="755"/>
      <c r="AC76" s="755"/>
      <c r="AD76" s="755"/>
      <c r="AE76" s="756"/>
      <c r="AF76" s="163" t="s">
        <v>41</v>
      </c>
      <c r="AG76" s="164" t="s">
        <v>118</v>
      </c>
      <c r="AH76" s="217"/>
      <c r="AI76" s="45"/>
      <c r="AJ76" s="45"/>
      <c r="AK76" s="46"/>
      <c r="AL76" s="47"/>
      <c r="AM76" s="37"/>
      <c r="AN76" s="38"/>
    </row>
    <row r="77" spans="1:93" x14ac:dyDescent="0.2">
      <c r="A77" s="683" t="s">
        <v>121</v>
      </c>
      <c r="B77" s="684"/>
      <c r="C77" s="684"/>
      <c r="D77" s="684"/>
      <c r="E77" s="684"/>
      <c r="F77" s="684"/>
      <c r="G77" s="685"/>
      <c r="H77" s="165">
        <f>SUM(H54,H42,H35,H32,H29,H59,H63,H67,H71,H75)</f>
        <v>0</v>
      </c>
      <c r="I77" s="799" t="s">
        <v>121</v>
      </c>
      <c r="J77" s="678"/>
      <c r="K77" s="678"/>
      <c r="L77" s="678"/>
      <c r="M77" s="801"/>
      <c r="N77" s="165">
        <f>SUM(N54,N42,N35,N32,N29,N59,N63,N67,N71,N75)</f>
        <v>0</v>
      </c>
      <c r="O77" s="799" t="s">
        <v>121</v>
      </c>
      <c r="P77" s="800"/>
      <c r="Q77" s="800"/>
      <c r="R77" s="800"/>
      <c r="S77" s="679"/>
      <c r="T77" s="165">
        <f>SUM(T54,T42,T35,T32,T29,T59,T63,T67,T71,T75)</f>
        <v>0</v>
      </c>
      <c r="U77" s="799" t="s">
        <v>121</v>
      </c>
      <c r="V77" s="800"/>
      <c r="W77" s="800"/>
      <c r="X77" s="800"/>
      <c r="Y77" s="679"/>
      <c r="Z77" s="165">
        <f>SUM(Z54,Z42,Z35,Z32,Z29,Z59,Z63,Z67,Z71,Z75)</f>
        <v>0</v>
      </c>
      <c r="AA77" s="799" t="s">
        <v>121</v>
      </c>
      <c r="AB77" s="800"/>
      <c r="AC77" s="800"/>
      <c r="AD77" s="800"/>
      <c r="AE77" s="679"/>
      <c r="AF77" s="165">
        <f>SUM(AF54,AF42,AF35,AF32,AF29,AF59,AF63,AF67,AF71,AF75)</f>
        <v>0</v>
      </c>
      <c r="AG77" s="166">
        <f>H77+N77+T77+Z77+AF77</f>
        <v>0</v>
      </c>
      <c r="AH77" s="218" t="s">
        <v>121</v>
      </c>
      <c r="AI77" s="3"/>
      <c r="AJ77" s="3"/>
      <c r="AK77" s="14"/>
    </row>
    <row r="78" spans="1:93" x14ac:dyDescent="0.2">
      <c r="A78" s="683" t="s">
        <v>122</v>
      </c>
      <c r="B78" s="684"/>
      <c r="C78" s="684"/>
      <c r="D78" s="684"/>
      <c r="E78" s="684"/>
      <c r="F78" s="684"/>
      <c r="G78" s="685"/>
      <c r="H78" s="167">
        <f>H77-H58-H62-H66-H70-H74</f>
        <v>0</v>
      </c>
      <c r="I78" s="799" t="s">
        <v>124</v>
      </c>
      <c r="J78" s="678"/>
      <c r="K78" s="678"/>
      <c r="L78" s="678"/>
      <c r="M78" s="801"/>
      <c r="N78" s="167">
        <f>N77-N58-N62-N66-N70-N74</f>
        <v>0</v>
      </c>
      <c r="O78" s="799" t="s">
        <v>124</v>
      </c>
      <c r="P78" s="800"/>
      <c r="Q78" s="800"/>
      <c r="R78" s="800"/>
      <c r="S78" s="679"/>
      <c r="T78" s="167">
        <f>T77-T58-T62-T66-T70-T74</f>
        <v>0</v>
      </c>
      <c r="U78" s="799" t="s">
        <v>124</v>
      </c>
      <c r="V78" s="800"/>
      <c r="W78" s="800"/>
      <c r="X78" s="800"/>
      <c r="Y78" s="679"/>
      <c r="Z78" s="167">
        <f>Z77-Z58-Z62-Z66-Z70-Z74</f>
        <v>0</v>
      </c>
      <c r="AA78" s="799" t="s">
        <v>124</v>
      </c>
      <c r="AB78" s="800"/>
      <c r="AC78" s="800"/>
      <c r="AD78" s="800"/>
      <c r="AE78" s="679"/>
      <c r="AF78" s="167">
        <f>AF77-AF58-AF62-AF66-AF70-AF74</f>
        <v>0</v>
      </c>
      <c r="AG78" s="166">
        <f>H78+N78+T78+Z78+AF78</f>
        <v>0</v>
      </c>
      <c r="AH78" s="218" t="s">
        <v>124</v>
      </c>
      <c r="AI78" s="3"/>
      <c r="AJ78" s="3"/>
      <c r="AK78" s="14"/>
    </row>
    <row r="79" spans="1:93" x14ac:dyDescent="0.2">
      <c r="A79" s="683" t="s">
        <v>125</v>
      </c>
      <c r="B79" s="684"/>
      <c r="C79" s="684"/>
      <c r="D79" s="684"/>
      <c r="E79" s="684"/>
      <c r="F79" s="684"/>
      <c r="G79" s="685"/>
      <c r="H79" s="167">
        <f>SUM(G75,G67,G63,G59,G71,H54,H35,H29)-SUM(H47:H48)</f>
        <v>0</v>
      </c>
      <c r="I79" s="799" t="s">
        <v>126</v>
      </c>
      <c r="J79" s="678"/>
      <c r="K79" s="678"/>
      <c r="L79" s="678"/>
      <c r="M79" s="801"/>
      <c r="N79" s="167">
        <f>SUM(M75,M67,M63,M59,M71,N54,N35,N29)-SUM(N47:N48)</f>
        <v>0</v>
      </c>
      <c r="O79" s="799" t="s">
        <v>126</v>
      </c>
      <c r="P79" s="678"/>
      <c r="Q79" s="678"/>
      <c r="R79" s="678"/>
      <c r="S79" s="801"/>
      <c r="T79" s="167">
        <f>SUM(S75,S67,S63,S59,S71,T54,T35,T29)-SUM(T47:T48)</f>
        <v>0</v>
      </c>
      <c r="U79" s="799" t="s">
        <v>126</v>
      </c>
      <c r="V79" s="678"/>
      <c r="W79" s="678"/>
      <c r="X79" s="678"/>
      <c r="Y79" s="801"/>
      <c r="Z79" s="167">
        <f>SUM(Y75,Y67,Y63,Y59,Y71,Z54,Z35,Z29)-SUM(Z47:Z48)</f>
        <v>0</v>
      </c>
      <c r="AA79" s="799" t="s">
        <v>126</v>
      </c>
      <c r="AB79" s="678"/>
      <c r="AC79" s="678"/>
      <c r="AD79" s="678"/>
      <c r="AE79" s="801"/>
      <c r="AF79" s="167">
        <f>SUM(AE75,AE67,AE63,AE59,AE71,AF54,AF35,AF29)-SUM(AF47:AF48)</f>
        <v>0</v>
      </c>
      <c r="AG79" s="166">
        <f>H79+N79+T79+Z79+AF79</f>
        <v>0</v>
      </c>
      <c r="AH79" s="218" t="s">
        <v>125</v>
      </c>
      <c r="AI79" s="3"/>
      <c r="AJ79" s="3"/>
      <c r="AK79" s="14"/>
    </row>
    <row r="80" spans="1:93" ht="13.5" thickBot="1" x14ac:dyDescent="0.25">
      <c r="A80" s="686" t="s">
        <v>129</v>
      </c>
      <c r="B80" s="687"/>
      <c r="C80" s="687"/>
      <c r="D80" s="687"/>
      <c r="E80" s="687"/>
      <c r="F80" s="687"/>
      <c r="G80" s="688"/>
      <c r="H80" s="168">
        <f>ROUND(H79*$N$9,0)</f>
        <v>0</v>
      </c>
      <c r="I80" s="799" t="s">
        <v>129</v>
      </c>
      <c r="J80" s="678"/>
      <c r="K80" s="678"/>
      <c r="L80" s="678"/>
      <c r="M80" s="801"/>
      <c r="N80" s="168">
        <f>ROUND(N79*$N$9,0)</f>
        <v>0</v>
      </c>
      <c r="O80" s="799" t="s">
        <v>129</v>
      </c>
      <c r="P80" s="800"/>
      <c r="Q80" s="800"/>
      <c r="R80" s="800"/>
      <c r="S80" s="679"/>
      <c r="T80" s="168">
        <f>ROUND(T79*$N$9,0)</f>
        <v>0</v>
      </c>
      <c r="U80" s="799" t="s">
        <v>129</v>
      </c>
      <c r="V80" s="800"/>
      <c r="W80" s="800"/>
      <c r="X80" s="800"/>
      <c r="Y80" s="679"/>
      <c r="Z80" s="168">
        <f>ROUND(Z79*$N$9,0)</f>
        <v>0</v>
      </c>
      <c r="AA80" s="799" t="s">
        <v>129</v>
      </c>
      <c r="AB80" s="800"/>
      <c r="AC80" s="800"/>
      <c r="AD80" s="800"/>
      <c r="AE80" s="679"/>
      <c r="AF80" s="168">
        <f>ROUND(AF79*$N$9,0)</f>
        <v>0</v>
      </c>
      <c r="AG80" s="166">
        <f>H80+N80+T80+Z80+AF80</f>
        <v>0</v>
      </c>
      <c r="AH80" s="218" t="s">
        <v>129</v>
      </c>
      <c r="AI80" s="3"/>
      <c r="AJ80" s="3"/>
      <c r="AK80" s="14"/>
    </row>
    <row r="81" spans="1:39" s="10" customFormat="1" ht="13.5" thickBot="1" x14ac:dyDescent="0.25">
      <c r="A81" s="680" t="s">
        <v>130</v>
      </c>
      <c r="B81" s="681"/>
      <c r="C81" s="681"/>
      <c r="D81" s="681"/>
      <c r="E81" s="681"/>
      <c r="F81" s="681"/>
      <c r="G81" s="682"/>
      <c r="H81" s="159">
        <f>H77+H80</f>
        <v>0</v>
      </c>
      <c r="I81" s="802" t="s">
        <v>130</v>
      </c>
      <c r="J81" s="676"/>
      <c r="K81" s="676"/>
      <c r="L81" s="676"/>
      <c r="M81" s="803"/>
      <c r="N81" s="159">
        <f>N77+N80</f>
        <v>0</v>
      </c>
      <c r="O81" s="802" t="s">
        <v>130</v>
      </c>
      <c r="P81" s="804"/>
      <c r="Q81" s="804"/>
      <c r="R81" s="804"/>
      <c r="S81" s="677"/>
      <c r="T81" s="159">
        <f>T77+T80</f>
        <v>0</v>
      </c>
      <c r="U81" s="802" t="s">
        <v>130</v>
      </c>
      <c r="V81" s="804"/>
      <c r="W81" s="804"/>
      <c r="X81" s="804"/>
      <c r="Y81" s="677"/>
      <c r="Z81" s="159">
        <f>Z77+Z80</f>
        <v>0</v>
      </c>
      <c r="AA81" s="802" t="s">
        <v>130</v>
      </c>
      <c r="AB81" s="804"/>
      <c r="AC81" s="804"/>
      <c r="AD81" s="804"/>
      <c r="AE81" s="677"/>
      <c r="AF81" s="159">
        <f>AF77+AF80</f>
        <v>0</v>
      </c>
      <c r="AG81" s="169">
        <f>H81+N81+T81+Z81+AF81</f>
        <v>0</v>
      </c>
      <c r="AH81" s="219" t="s">
        <v>130</v>
      </c>
      <c r="AK81" s="48"/>
      <c r="AL81" s="9"/>
    </row>
    <row r="82" spans="1:39" ht="13.5" thickBot="1" x14ac:dyDescent="0.25">
      <c r="A82" s="371"/>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97"/>
      <c r="AJ82" s="97"/>
    </row>
    <row r="83" spans="1:39" s="84" customFormat="1" x14ac:dyDescent="0.2">
      <c r="A83" s="573" t="s">
        <v>140</v>
      </c>
      <c r="B83" s="523"/>
      <c r="C83" s="523"/>
      <c r="D83" s="523"/>
      <c r="E83" s="523"/>
      <c r="F83" s="523"/>
      <c r="G83" s="523"/>
      <c r="H83" s="523" t="s">
        <v>37</v>
      </c>
      <c r="I83" s="524"/>
      <c r="J83" s="523"/>
      <c r="K83" s="523"/>
      <c r="L83" s="523"/>
      <c r="M83" s="523"/>
      <c r="N83" s="523" t="s">
        <v>38</v>
      </c>
      <c r="O83" s="524"/>
      <c r="P83" s="523"/>
      <c r="Q83" s="523"/>
      <c r="R83" s="523"/>
      <c r="S83" s="523"/>
      <c r="T83" s="523" t="s">
        <v>39</v>
      </c>
      <c r="U83" s="524"/>
      <c r="V83" s="523"/>
      <c r="W83" s="523"/>
      <c r="X83" s="523"/>
      <c r="Y83" s="523"/>
      <c r="Z83" s="523" t="s">
        <v>40</v>
      </c>
      <c r="AA83" s="524"/>
      <c r="AB83" s="523"/>
      <c r="AC83" s="523"/>
      <c r="AD83" s="523"/>
      <c r="AE83" s="525"/>
      <c r="AF83" s="523" t="s">
        <v>41</v>
      </c>
      <c r="AG83" s="523" t="s">
        <v>141</v>
      </c>
      <c r="AH83" s="526"/>
      <c r="AI83" s="424"/>
      <c r="AJ83" s="424"/>
      <c r="AL83" s="85"/>
      <c r="AM83" s="86"/>
    </row>
    <row r="84" spans="1:39" x14ac:dyDescent="0.2">
      <c r="A84" s="527"/>
      <c r="B84" s="514"/>
      <c r="C84" s="514"/>
      <c r="D84" s="514"/>
      <c r="E84" s="514"/>
      <c r="F84" s="514"/>
      <c r="G84" s="486" t="s">
        <v>142</v>
      </c>
      <c r="H84" s="515">
        <f>H90*25000</f>
        <v>0</v>
      </c>
      <c r="I84" s="516"/>
      <c r="J84" s="517"/>
      <c r="K84" s="517"/>
      <c r="L84" s="517"/>
      <c r="M84" s="488" t="s">
        <v>143</v>
      </c>
      <c r="N84" s="515">
        <f>N90*25000</f>
        <v>0</v>
      </c>
      <c r="O84" s="518"/>
      <c r="P84" s="517"/>
      <c r="Q84" s="517"/>
      <c r="R84" s="517"/>
      <c r="S84" s="488" t="s">
        <v>143</v>
      </c>
      <c r="T84" s="515">
        <f>T90*25000</f>
        <v>0</v>
      </c>
      <c r="U84" s="518"/>
      <c r="V84" s="517"/>
      <c r="W84" s="517"/>
      <c r="X84" s="517"/>
      <c r="Y84" s="488" t="s">
        <v>143</v>
      </c>
      <c r="Z84" s="515">
        <f>Z90*25000</f>
        <v>0</v>
      </c>
      <c r="AA84" s="518"/>
      <c r="AB84" s="517"/>
      <c r="AC84" s="517"/>
      <c r="AD84" s="517"/>
      <c r="AE84" s="488" t="s">
        <v>143</v>
      </c>
      <c r="AF84" s="515">
        <f>AF90*25000</f>
        <v>0</v>
      </c>
      <c r="AG84" s="528">
        <f t="shared" ref="AG84:AG89" si="31">SUM(H84,N84,T84,Z84,AF84)</f>
        <v>0</v>
      </c>
      <c r="AH84" s="529" t="s">
        <v>142</v>
      </c>
      <c r="AI84" s="372"/>
      <c r="AJ84" s="97"/>
      <c r="AK84" s="4"/>
      <c r="AL84" s="4"/>
      <c r="AM84" s="4"/>
    </row>
    <row r="85" spans="1:39" s="7" customFormat="1" x14ac:dyDescent="0.2">
      <c r="A85" s="527"/>
      <c r="B85" s="514"/>
      <c r="C85" s="514"/>
      <c r="D85" s="514"/>
      <c r="E85" s="514"/>
      <c r="F85" s="514"/>
      <c r="G85" s="486" t="s">
        <v>144</v>
      </c>
      <c r="H85" s="519">
        <f>SUM(H58,H62,H66,H74)</f>
        <v>0</v>
      </c>
      <c r="I85" s="518"/>
      <c r="J85" s="517"/>
      <c r="K85" s="517"/>
      <c r="L85" s="517"/>
      <c r="M85" s="488" t="s">
        <v>145</v>
      </c>
      <c r="N85" s="519">
        <f>SUM(N58,N62,N66,N74)</f>
        <v>0</v>
      </c>
      <c r="O85" s="518"/>
      <c r="P85" s="517"/>
      <c r="Q85" s="517"/>
      <c r="R85" s="517"/>
      <c r="S85" s="488" t="s">
        <v>145</v>
      </c>
      <c r="T85" s="519">
        <f>SUM(T58,T62,T66,T74)</f>
        <v>0</v>
      </c>
      <c r="U85" s="518"/>
      <c r="V85" s="517"/>
      <c r="W85" s="517"/>
      <c r="X85" s="517"/>
      <c r="Y85" s="488" t="s">
        <v>145</v>
      </c>
      <c r="Z85" s="519">
        <f>SUM(Z58,Z62,Z66,Z74)</f>
        <v>0</v>
      </c>
      <c r="AA85" s="518"/>
      <c r="AB85" s="517"/>
      <c r="AC85" s="517"/>
      <c r="AD85" s="517"/>
      <c r="AE85" s="488" t="s">
        <v>145</v>
      </c>
      <c r="AF85" s="519">
        <f>SUM(AF58,AF62,AF66,AF74)</f>
        <v>0</v>
      </c>
      <c r="AG85" s="528">
        <f t="shared" si="31"/>
        <v>0</v>
      </c>
      <c r="AH85" s="529" t="s">
        <v>144</v>
      </c>
      <c r="AI85" s="372"/>
      <c r="AJ85" s="97"/>
    </row>
    <row r="86" spans="1:39" x14ac:dyDescent="0.2">
      <c r="A86" s="527"/>
      <c r="B86" s="514"/>
      <c r="C86" s="514"/>
      <c r="D86" s="514"/>
      <c r="E86" s="514"/>
      <c r="F86" s="514"/>
      <c r="G86" s="486" t="s">
        <v>121</v>
      </c>
      <c r="H86" s="519">
        <f>(H90*25000)+H85</f>
        <v>0</v>
      </c>
      <c r="I86" s="518"/>
      <c r="J86" s="517"/>
      <c r="K86" s="517"/>
      <c r="L86" s="517"/>
      <c r="M86" s="488" t="s">
        <v>146</v>
      </c>
      <c r="N86" s="519">
        <f>(N90*25000)+N85</f>
        <v>0</v>
      </c>
      <c r="O86" s="518"/>
      <c r="P86" s="517"/>
      <c r="Q86" s="517"/>
      <c r="R86" s="517"/>
      <c r="S86" s="488" t="s">
        <v>146</v>
      </c>
      <c r="T86" s="519">
        <f>(T90*25000)+T85</f>
        <v>0</v>
      </c>
      <c r="U86" s="518"/>
      <c r="V86" s="517"/>
      <c r="W86" s="517"/>
      <c r="X86" s="517"/>
      <c r="Y86" s="488" t="s">
        <v>146</v>
      </c>
      <c r="Z86" s="519">
        <f>(Z90*25000)+Z85</f>
        <v>0</v>
      </c>
      <c r="AA86" s="518"/>
      <c r="AB86" s="517"/>
      <c r="AC86" s="517"/>
      <c r="AD86" s="517"/>
      <c r="AE86" s="488" t="s">
        <v>146</v>
      </c>
      <c r="AF86" s="519">
        <f>(AF90*25000)+AF85</f>
        <v>0</v>
      </c>
      <c r="AG86" s="528">
        <f t="shared" si="31"/>
        <v>0</v>
      </c>
      <c r="AH86" s="529" t="s">
        <v>121</v>
      </c>
      <c r="AI86" s="372"/>
      <c r="AJ86" s="97"/>
      <c r="AK86" s="4"/>
      <c r="AL86" s="4"/>
      <c r="AM86" s="4"/>
    </row>
    <row r="87" spans="1:39" x14ac:dyDescent="0.2">
      <c r="A87" s="527"/>
      <c r="B87" s="514"/>
      <c r="C87" s="514"/>
      <c r="D87" s="514"/>
      <c r="E87" s="514"/>
      <c r="F87" s="514"/>
      <c r="G87" s="486" t="s">
        <v>147</v>
      </c>
      <c r="H87" s="519">
        <f>H86-H91</f>
        <v>0</v>
      </c>
      <c r="I87" s="518"/>
      <c r="J87" s="517"/>
      <c r="K87" s="517"/>
      <c r="L87" s="517"/>
      <c r="M87" s="488" t="s">
        <v>148</v>
      </c>
      <c r="N87" s="519">
        <f>N86-N91</f>
        <v>0</v>
      </c>
      <c r="O87" s="518"/>
      <c r="P87" s="517"/>
      <c r="Q87" s="517"/>
      <c r="R87" s="517"/>
      <c r="S87" s="488" t="s">
        <v>148</v>
      </c>
      <c r="T87" s="519">
        <f>T86-T91</f>
        <v>0</v>
      </c>
      <c r="U87" s="518"/>
      <c r="V87" s="517"/>
      <c r="W87" s="517"/>
      <c r="X87" s="517"/>
      <c r="Y87" s="488" t="s">
        <v>148</v>
      </c>
      <c r="Z87" s="519">
        <f>Z86-Z91</f>
        <v>0</v>
      </c>
      <c r="AA87" s="518"/>
      <c r="AB87" s="517"/>
      <c r="AC87" s="517"/>
      <c r="AD87" s="517"/>
      <c r="AE87" s="488" t="s">
        <v>148</v>
      </c>
      <c r="AF87" s="519">
        <f>AF86-AF91</f>
        <v>0</v>
      </c>
      <c r="AG87" s="528">
        <f t="shared" si="31"/>
        <v>0</v>
      </c>
      <c r="AH87" s="529" t="s">
        <v>147</v>
      </c>
      <c r="AI87" s="372"/>
      <c r="AJ87" s="97"/>
      <c r="AK87" s="4"/>
      <c r="AL87" s="4"/>
      <c r="AM87" s="4"/>
    </row>
    <row r="88" spans="1:39" s="50" customFormat="1" x14ac:dyDescent="0.2">
      <c r="A88" s="530"/>
      <c r="B88" s="531"/>
      <c r="C88" s="531"/>
      <c r="D88" s="531"/>
      <c r="E88" s="531"/>
      <c r="F88" s="531"/>
      <c r="G88" s="486" t="s">
        <v>149</v>
      </c>
      <c r="H88" s="519">
        <f>ROUND(H87*$N$9,0)</f>
        <v>0</v>
      </c>
      <c r="I88" s="518"/>
      <c r="J88" s="517"/>
      <c r="K88" s="517"/>
      <c r="L88" s="517"/>
      <c r="M88" s="488" t="s">
        <v>150</v>
      </c>
      <c r="N88" s="519">
        <f>ROUND(N87*$N$9,0)</f>
        <v>0</v>
      </c>
      <c r="O88" s="518"/>
      <c r="P88" s="517"/>
      <c r="Q88" s="517"/>
      <c r="R88" s="517"/>
      <c r="S88" s="488" t="s">
        <v>150</v>
      </c>
      <c r="T88" s="519">
        <f>ROUND(T87*$N$9,0)</f>
        <v>0</v>
      </c>
      <c r="U88" s="518"/>
      <c r="V88" s="517"/>
      <c r="W88" s="517"/>
      <c r="X88" s="517"/>
      <c r="Y88" s="488" t="s">
        <v>150</v>
      </c>
      <c r="Z88" s="519">
        <f>ROUND(Z87*$N$9,0)</f>
        <v>0</v>
      </c>
      <c r="AA88" s="518"/>
      <c r="AB88" s="517"/>
      <c r="AC88" s="517"/>
      <c r="AD88" s="517"/>
      <c r="AE88" s="488" t="s">
        <v>150</v>
      </c>
      <c r="AF88" s="519">
        <f>ROUND(AF87*$N$9,0)</f>
        <v>0</v>
      </c>
      <c r="AG88" s="528">
        <f t="shared" si="31"/>
        <v>0</v>
      </c>
      <c r="AH88" s="529" t="s">
        <v>149</v>
      </c>
      <c r="AI88" s="372"/>
      <c r="AJ88" s="97"/>
    </row>
    <row r="89" spans="1:39" s="55" customFormat="1" x14ac:dyDescent="0.2">
      <c r="A89" s="527"/>
      <c r="B89" s="514"/>
      <c r="C89" s="514"/>
      <c r="D89" s="514"/>
      <c r="E89" s="514"/>
      <c r="F89" s="514"/>
      <c r="G89" s="486" t="s">
        <v>151</v>
      </c>
      <c r="H89" s="520">
        <f>SUM(H86,H88)</f>
        <v>0</v>
      </c>
      <c r="I89" s="521"/>
      <c r="J89" s="522"/>
      <c r="K89" s="522"/>
      <c r="L89" s="522"/>
      <c r="M89" s="492" t="s">
        <v>152</v>
      </c>
      <c r="N89" s="520">
        <f>SUM(N86,N88)</f>
        <v>0</v>
      </c>
      <c r="O89" s="521"/>
      <c r="P89" s="522"/>
      <c r="Q89" s="522"/>
      <c r="R89" s="522"/>
      <c r="S89" s="492" t="s">
        <v>152</v>
      </c>
      <c r="T89" s="520">
        <f>SUM(T86,T88)</f>
        <v>0</v>
      </c>
      <c r="U89" s="521"/>
      <c r="V89" s="522"/>
      <c r="W89" s="522"/>
      <c r="X89" s="522"/>
      <c r="Y89" s="492" t="s">
        <v>152</v>
      </c>
      <c r="Z89" s="520">
        <f>SUM(Z86,Z88)</f>
        <v>0</v>
      </c>
      <c r="AA89" s="521"/>
      <c r="AB89" s="522"/>
      <c r="AC89" s="522"/>
      <c r="AD89" s="522"/>
      <c r="AE89" s="492" t="s">
        <v>152</v>
      </c>
      <c r="AF89" s="520">
        <f>SUM(AF86,AF88)</f>
        <v>0</v>
      </c>
      <c r="AG89" s="528">
        <f t="shared" si="31"/>
        <v>0</v>
      </c>
      <c r="AH89" s="529" t="s">
        <v>151</v>
      </c>
      <c r="AI89" s="372"/>
      <c r="AJ89" s="97"/>
    </row>
    <row r="90" spans="1:39" x14ac:dyDescent="0.2">
      <c r="A90" s="532"/>
      <c r="B90" s="190"/>
      <c r="C90" s="190"/>
      <c r="D90" s="797" t="s">
        <v>153</v>
      </c>
      <c r="E90" s="798"/>
      <c r="F90" s="798"/>
      <c r="G90" s="798"/>
      <c r="H90" s="494">
        <f>ROUNDUP((H78/25000),0)</f>
        <v>0</v>
      </c>
      <c r="I90" s="494"/>
      <c r="J90" s="494"/>
      <c r="K90" s="494"/>
      <c r="L90" s="494"/>
      <c r="M90" s="494"/>
      <c r="N90" s="494">
        <f>ROUNDUP((N78/25000),0)</f>
        <v>0</v>
      </c>
      <c r="O90" s="494"/>
      <c r="P90" s="494"/>
      <c r="Q90" s="494"/>
      <c r="R90" s="494"/>
      <c r="S90" s="494"/>
      <c r="T90" s="494">
        <f>ROUNDUP((T78/25000),0)</f>
        <v>0</v>
      </c>
      <c r="U90" s="494"/>
      <c r="V90" s="494"/>
      <c r="W90" s="494"/>
      <c r="X90" s="494"/>
      <c r="Y90" s="494"/>
      <c r="Z90" s="494">
        <f>ROUNDUP((Z78/25000),0)</f>
        <v>0</v>
      </c>
      <c r="AA90" s="494"/>
      <c r="AB90" s="494"/>
      <c r="AC90" s="494"/>
      <c r="AD90" s="494"/>
      <c r="AE90" s="494"/>
      <c r="AF90" s="497">
        <f>ROUNDUP((AF78/25000),0)</f>
        <v>0</v>
      </c>
      <c r="AG90" s="533"/>
      <c r="AH90" s="534"/>
      <c r="AI90" s="372"/>
      <c r="AJ90" s="97"/>
      <c r="AK90" s="4"/>
      <c r="AL90" s="4"/>
      <c r="AM90" s="4"/>
    </row>
    <row r="91" spans="1:39" ht="13.5" thickBot="1" x14ac:dyDescent="0.25">
      <c r="A91" s="535"/>
      <c r="B91" s="536"/>
      <c r="C91" s="536"/>
      <c r="D91" s="795" t="s">
        <v>154</v>
      </c>
      <c r="E91" s="796"/>
      <c r="F91" s="796"/>
      <c r="G91" s="796"/>
      <c r="H91" s="537">
        <f>H77-H79</f>
        <v>0</v>
      </c>
      <c r="I91" s="537"/>
      <c r="J91" s="537"/>
      <c r="K91" s="537"/>
      <c r="L91" s="537"/>
      <c r="M91" s="537"/>
      <c r="N91" s="537">
        <f>N77-N79</f>
        <v>0</v>
      </c>
      <c r="O91" s="537"/>
      <c r="P91" s="537"/>
      <c r="Q91" s="537"/>
      <c r="R91" s="537"/>
      <c r="S91" s="537"/>
      <c r="T91" s="537">
        <f>T77-T79</f>
        <v>0</v>
      </c>
      <c r="U91" s="537"/>
      <c r="V91" s="537"/>
      <c r="W91" s="537"/>
      <c r="X91" s="537"/>
      <c r="Y91" s="537"/>
      <c r="Z91" s="537">
        <f>Z77-Z79</f>
        <v>0</v>
      </c>
      <c r="AA91" s="537"/>
      <c r="AB91" s="537"/>
      <c r="AC91" s="537"/>
      <c r="AD91" s="537"/>
      <c r="AE91" s="537"/>
      <c r="AF91" s="538">
        <f>AF77-AF79</f>
        <v>0</v>
      </c>
      <c r="AG91" s="536"/>
      <c r="AH91" s="539"/>
      <c r="AI91" s="373"/>
      <c r="AJ91" s="372"/>
      <c r="AK91" s="4"/>
      <c r="AL91" s="4"/>
      <c r="AM91" s="4"/>
    </row>
    <row r="92" spans="1:39" x14ac:dyDescent="0.2">
      <c r="N92" s="4" t="s">
        <v>65</v>
      </c>
    </row>
    <row r="93" spans="1:39" ht="13.5" thickBot="1" x14ac:dyDescent="0.25">
      <c r="L93" s="79"/>
    </row>
    <row r="94" spans="1:39" outlineLevel="1" x14ac:dyDescent="0.2">
      <c r="A94" s="67" t="s">
        <v>131</v>
      </c>
      <c r="B94" s="68"/>
      <c r="C94" s="68"/>
      <c r="D94" s="68"/>
      <c r="E94" s="68"/>
      <c r="F94" s="68"/>
      <c r="G94" s="68"/>
      <c r="H94" s="69" t="s">
        <v>37</v>
      </c>
      <c r="I94" s="69"/>
      <c r="J94" s="69"/>
      <c r="K94" s="69"/>
      <c r="L94" s="69"/>
      <c r="M94" s="69"/>
      <c r="N94" s="69" t="s">
        <v>38</v>
      </c>
      <c r="O94" s="69"/>
      <c r="P94" s="69"/>
      <c r="Q94" s="69"/>
      <c r="R94" s="69"/>
      <c r="S94" s="69"/>
      <c r="T94" s="69" t="s">
        <v>39</v>
      </c>
      <c r="U94" s="69"/>
      <c r="V94" s="69"/>
      <c r="W94" s="69"/>
      <c r="X94" s="69"/>
      <c r="Y94" s="69"/>
      <c r="Z94" s="69" t="s">
        <v>40</v>
      </c>
      <c r="AA94" s="69"/>
      <c r="AB94" s="69"/>
      <c r="AC94" s="69"/>
      <c r="AD94" s="69"/>
      <c r="AE94" s="69"/>
      <c r="AF94" s="87" t="s">
        <v>41</v>
      </c>
    </row>
    <row r="95" spans="1:39" outlineLevel="1" x14ac:dyDescent="0.2">
      <c r="A95" s="70"/>
      <c r="B95" s="71"/>
      <c r="C95" s="71"/>
      <c r="D95" s="71"/>
      <c r="E95" s="71"/>
      <c r="F95" s="71"/>
      <c r="G95" s="72" t="s">
        <v>132</v>
      </c>
      <c r="H95" s="73">
        <f>H87</f>
        <v>0</v>
      </c>
      <c r="I95" s="71"/>
      <c r="J95" s="71"/>
      <c r="K95" s="71"/>
      <c r="L95" s="71"/>
      <c r="M95" s="72" t="s">
        <v>132</v>
      </c>
      <c r="N95" s="73">
        <f>N87</f>
        <v>0</v>
      </c>
      <c r="O95" s="71"/>
      <c r="P95" s="71"/>
      <c r="Q95" s="71"/>
      <c r="R95" s="71"/>
      <c r="S95" s="72" t="s">
        <v>132</v>
      </c>
      <c r="T95" s="73">
        <f>T87</f>
        <v>0</v>
      </c>
      <c r="U95" s="71"/>
      <c r="V95" s="71"/>
      <c r="W95" s="71"/>
      <c r="X95" s="71"/>
      <c r="Y95" s="72" t="s">
        <v>132</v>
      </c>
      <c r="Z95" s="73">
        <f>Z87</f>
        <v>0</v>
      </c>
      <c r="AA95" s="71"/>
      <c r="AB95" s="71"/>
      <c r="AC95" s="71"/>
      <c r="AD95" s="71"/>
      <c r="AE95" s="72" t="s">
        <v>132</v>
      </c>
      <c r="AF95" s="88">
        <f>AF87</f>
        <v>0</v>
      </c>
    </row>
    <row r="96" spans="1:39" outlineLevel="1" x14ac:dyDescent="0.2">
      <c r="A96" s="70"/>
      <c r="B96" s="71"/>
      <c r="C96" s="71"/>
      <c r="D96" s="71"/>
      <c r="E96" s="71"/>
      <c r="F96" s="71"/>
      <c r="G96" s="72" t="s">
        <v>133</v>
      </c>
      <c r="H96" s="73">
        <f>H32</f>
        <v>0</v>
      </c>
      <c r="I96" s="71"/>
      <c r="J96" s="71"/>
      <c r="K96" s="71"/>
      <c r="L96" s="71"/>
      <c r="M96" s="72" t="s">
        <v>133</v>
      </c>
      <c r="N96" s="73">
        <f>N32</f>
        <v>0</v>
      </c>
      <c r="O96" s="71"/>
      <c r="P96" s="71"/>
      <c r="Q96" s="71"/>
      <c r="R96" s="71"/>
      <c r="S96" s="72" t="s">
        <v>133</v>
      </c>
      <c r="T96" s="73">
        <f>T32</f>
        <v>0</v>
      </c>
      <c r="U96" s="71"/>
      <c r="V96" s="71"/>
      <c r="W96" s="71"/>
      <c r="X96" s="71"/>
      <c r="Y96" s="72" t="s">
        <v>133</v>
      </c>
      <c r="Z96" s="73">
        <f>Z32</f>
        <v>0</v>
      </c>
      <c r="AA96" s="71"/>
      <c r="AB96" s="71"/>
      <c r="AC96" s="71"/>
      <c r="AD96" s="71"/>
      <c r="AE96" s="72" t="s">
        <v>133</v>
      </c>
      <c r="AF96" s="88">
        <f>AF32</f>
        <v>0</v>
      </c>
    </row>
    <row r="97" spans="1:39" outlineLevel="1" x14ac:dyDescent="0.2">
      <c r="A97" s="70"/>
      <c r="B97" s="71"/>
      <c r="C97" s="71"/>
      <c r="D97" s="71"/>
      <c r="E97" s="71"/>
      <c r="F97" s="71"/>
      <c r="G97" s="72" t="s">
        <v>134</v>
      </c>
      <c r="H97" s="73">
        <f>H42</f>
        <v>0</v>
      </c>
      <c r="I97" s="71"/>
      <c r="J97" s="71"/>
      <c r="K97" s="71"/>
      <c r="L97" s="71"/>
      <c r="M97" s="72" t="s">
        <v>134</v>
      </c>
      <c r="N97" s="73">
        <f>N42</f>
        <v>0</v>
      </c>
      <c r="O97" s="71"/>
      <c r="P97" s="71"/>
      <c r="Q97" s="71"/>
      <c r="R97" s="71"/>
      <c r="S97" s="72" t="s">
        <v>134</v>
      </c>
      <c r="T97" s="73">
        <f>T42</f>
        <v>0</v>
      </c>
      <c r="U97" s="71"/>
      <c r="V97" s="71"/>
      <c r="W97" s="71"/>
      <c r="X97" s="71"/>
      <c r="Y97" s="72" t="s">
        <v>134</v>
      </c>
      <c r="Z97" s="73">
        <f>Z42</f>
        <v>0</v>
      </c>
      <c r="AA97" s="71"/>
      <c r="AB97" s="71"/>
      <c r="AC97" s="71"/>
      <c r="AD97" s="71"/>
      <c r="AE97" s="72" t="s">
        <v>134</v>
      </c>
      <c r="AF97" s="88">
        <f>AF42</f>
        <v>0</v>
      </c>
    </row>
    <row r="98" spans="1:39" outlineLevel="1" x14ac:dyDescent="0.2">
      <c r="A98" s="70"/>
      <c r="B98" s="71"/>
      <c r="C98" s="71"/>
      <c r="D98" s="71"/>
      <c r="E98" s="71"/>
      <c r="F98" s="71"/>
      <c r="G98" s="72" t="s">
        <v>135</v>
      </c>
      <c r="H98" s="73">
        <f>H47</f>
        <v>0</v>
      </c>
      <c r="I98" s="71"/>
      <c r="J98" s="71"/>
      <c r="K98" s="71"/>
      <c r="L98" s="71"/>
      <c r="M98" s="72" t="s">
        <v>135</v>
      </c>
      <c r="N98" s="73">
        <f>N47</f>
        <v>0</v>
      </c>
      <c r="O98" s="71"/>
      <c r="P98" s="71"/>
      <c r="Q98" s="71"/>
      <c r="R98" s="71"/>
      <c r="S98" s="72" t="s">
        <v>135</v>
      </c>
      <c r="T98" s="73">
        <f>T47</f>
        <v>0</v>
      </c>
      <c r="U98" s="71"/>
      <c r="V98" s="71"/>
      <c r="W98" s="71"/>
      <c r="X98" s="71"/>
      <c r="Y98" s="72" t="s">
        <v>135</v>
      </c>
      <c r="Z98" s="73">
        <f>Z47</f>
        <v>0</v>
      </c>
      <c r="AA98" s="71"/>
      <c r="AB98" s="71"/>
      <c r="AC98" s="71"/>
      <c r="AD98" s="71"/>
      <c r="AE98" s="72" t="s">
        <v>135</v>
      </c>
      <c r="AF98" s="88">
        <f>AF47</f>
        <v>0</v>
      </c>
    </row>
    <row r="99" spans="1:39" ht="13.5" outlineLevel="1" thickBot="1" x14ac:dyDescent="0.25">
      <c r="A99" s="75"/>
      <c r="B99" s="76"/>
      <c r="C99" s="76"/>
      <c r="D99" s="76"/>
      <c r="E99" s="76"/>
      <c r="F99" s="76"/>
      <c r="G99" s="77" t="s">
        <v>136</v>
      </c>
      <c r="H99" s="78">
        <f>(SUM(H59,H63,H67,H75))-(SUM(G59,G63,G67,G75))</f>
        <v>0</v>
      </c>
      <c r="I99" s="76"/>
      <c r="J99" s="76"/>
      <c r="K99" s="76"/>
      <c r="L99" s="76"/>
      <c r="M99" s="77" t="s">
        <v>136</v>
      </c>
      <c r="N99" s="78">
        <f>(SUM(N59,N63,N67,N75))-(SUM(M59,M63,M67,M75))</f>
        <v>0</v>
      </c>
      <c r="O99" s="76"/>
      <c r="P99" s="76"/>
      <c r="Q99" s="76"/>
      <c r="R99" s="76"/>
      <c r="S99" s="77" t="s">
        <v>136</v>
      </c>
      <c r="T99" s="78">
        <f>(SUM(T59,T63,T67,T75))-(SUM(S59,S63,S67,S75))</f>
        <v>0</v>
      </c>
      <c r="U99" s="76"/>
      <c r="V99" s="76"/>
      <c r="W99" s="76"/>
      <c r="X99" s="76"/>
      <c r="Y99" s="77" t="s">
        <v>136</v>
      </c>
      <c r="Z99" s="78">
        <f>(SUM(Z59,Z63,Z67,Z75))-(SUM(Y59,Y63,Y67,Y75))</f>
        <v>0</v>
      </c>
      <c r="AA99" s="76"/>
      <c r="AB99" s="76"/>
      <c r="AC99" s="76"/>
      <c r="AD99" s="76"/>
      <c r="AE99" s="77" t="s">
        <v>136</v>
      </c>
      <c r="AF99" s="89">
        <f>(SUM(AF59,AF63,AF67,AF75))-(SUM(AE59,AE63,AE67,AE75))</f>
        <v>0</v>
      </c>
    </row>
    <row r="102" spans="1:39" outlineLevel="1" x14ac:dyDescent="0.2">
      <c r="A102" s="664" t="s">
        <v>194</v>
      </c>
      <c r="Y102" s="80"/>
      <c r="AH102" s="74"/>
    </row>
    <row r="103" spans="1:39" ht="13.5" outlineLevel="1" thickBot="1" x14ac:dyDescent="0.25">
      <c r="A103" s="716" t="s">
        <v>36</v>
      </c>
      <c r="B103" s="444"/>
      <c r="C103" s="695" t="s">
        <v>37</v>
      </c>
      <c r="D103" s="777"/>
      <c r="E103" s="777"/>
      <c r="F103" s="777"/>
      <c r="G103" s="777"/>
      <c r="H103" s="777"/>
      <c r="I103" s="695" t="s">
        <v>38</v>
      </c>
      <c r="J103" s="777"/>
      <c r="K103" s="777"/>
      <c r="L103" s="777"/>
      <c r="M103" s="777"/>
      <c r="N103" s="777"/>
      <c r="O103" s="695" t="s">
        <v>39</v>
      </c>
      <c r="P103" s="777"/>
      <c r="Q103" s="777"/>
      <c r="R103" s="777"/>
      <c r="S103" s="777"/>
      <c r="T103" s="777"/>
      <c r="U103" s="695" t="s">
        <v>40</v>
      </c>
      <c r="V103" s="777"/>
      <c r="W103" s="777"/>
      <c r="X103" s="777"/>
      <c r="Y103" s="777"/>
      <c r="Z103" s="777"/>
      <c r="AA103" s="695" t="s">
        <v>41</v>
      </c>
      <c r="AB103" s="777"/>
      <c r="AC103" s="777"/>
      <c r="AD103" s="777"/>
      <c r="AE103" s="777"/>
      <c r="AF103" s="777"/>
      <c r="AG103" s="354"/>
      <c r="AH103" s="200"/>
    </row>
    <row r="104" spans="1:39" ht="15.75" customHeight="1" outlineLevel="1" x14ac:dyDescent="0.2">
      <c r="A104" s="716"/>
      <c r="B104" s="717" t="s">
        <v>188</v>
      </c>
      <c r="C104" s="719" t="s">
        <v>42</v>
      </c>
      <c r="D104" s="704" t="s">
        <v>43</v>
      </c>
      <c r="E104" s="813" t="s">
        <v>189</v>
      </c>
      <c r="F104" s="704" t="s">
        <v>195</v>
      </c>
      <c r="G104" s="704" t="s">
        <v>196</v>
      </c>
      <c r="H104" s="721" t="s">
        <v>197</v>
      </c>
      <c r="I104" s="719" t="s">
        <v>42</v>
      </c>
      <c r="J104" s="704" t="s">
        <v>43</v>
      </c>
      <c r="K104" s="813" t="s">
        <v>190</v>
      </c>
      <c r="L104" s="704" t="s">
        <v>195</v>
      </c>
      <c r="M104" s="704" t="s">
        <v>196</v>
      </c>
      <c r="N104" s="721" t="s">
        <v>197</v>
      </c>
      <c r="O104" s="719" t="s">
        <v>42</v>
      </c>
      <c r="P104" s="704" t="s">
        <v>43</v>
      </c>
      <c r="Q104" s="813" t="s">
        <v>191</v>
      </c>
      <c r="R104" s="704" t="s">
        <v>195</v>
      </c>
      <c r="S104" s="704" t="s">
        <v>196</v>
      </c>
      <c r="T104" s="721" t="s">
        <v>197</v>
      </c>
      <c r="U104" s="719" t="s">
        <v>42</v>
      </c>
      <c r="V104" s="704" t="s">
        <v>43</v>
      </c>
      <c r="W104" s="813" t="s">
        <v>192</v>
      </c>
      <c r="X104" s="704" t="s">
        <v>195</v>
      </c>
      <c r="Y104" s="704" t="s">
        <v>196</v>
      </c>
      <c r="Z104" s="721" t="s">
        <v>197</v>
      </c>
      <c r="AA104" s="825" t="s">
        <v>42</v>
      </c>
      <c r="AB104" s="823" t="s">
        <v>43</v>
      </c>
      <c r="AC104" s="813" t="s">
        <v>193</v>
      </c>
      <c r="AD104" s="704" t="s">
        <v>195</v>
      </c>
      <c r="AE104" s="704" t="s">
        <v>196</v>
      </c>
      <c r="AF104" s="721" t="s">
        <v>197</v>
      </c>
      <c r="AG104" s="700" t="s">
        <v>47</v>
      </c>
      <c r="AH104" s="204"/>
      <c r="AK104" s="4"/>
      <c r="AL104" s="4"/>
      <c r="AM104" s="4"/>
    </row>
    <row r="105" spans="1:39" s="11" customFormat="1" outlineLevel="1" x14ac:dyDescent="0.2">
      <c r="A105" s="443" t="s">
        <v>48</v>
      </c>
      <c r="B105" s="718"/>
      <c r="C105" s="720"/>
      <c r="D105" s="705"/>
      <c r="E105" s="814"/>
      <c r="F105" s="705"/>
      <c r="G105" s="705"/>
      <c r="H105" s="722"/>
      <c r="I105" s="837"/>
      <c r="J105" s="705"/>
      <c r="K105" s="814"/>
      <c r="L105" s="705"/>
      <c r="M105" s="705"/>
      <c r="N105" s="722"/>
      <c r="O105" s="837"/>
      <c r="P105" s="705"/>
      <c r="Q105" s="814"/>
      <c r="R105" s="705"/>
      <c r="S105" s="705"/>
      <c r="T105" s="722"/>
      <c r="U105" s="837"/>
      <c r="V105" s="705"/>
      <c r="W105" s="814"/>
      <c r="X105" s="705"/>
      <c r="Y105" s="705"/>
      <c r="Z105" s="722"/>
      <c r="AA105" s="826"/>
      <c r="AB105" s="824"/>
      <c r="AC105" s="814"/>
      <c r="AD105" s="705"/>
      <c r="AE105" s="705"/>
      <c r="AF105" s="722"/>
      <c r="AG105" s="701"/>
      <c r="AH105" s="205"/>
    </row>
    <row r="106" spans="1:39" s="3" customFormat="1" outlineLevel="1" x14ac:dyDescent="0.2">
      <c r="A106" s="442" t="s">
        <v>49</v>
      </c>
      <c r="B106" s="718"/>
      <c r="C106" s="720"/>
      <c r="D106" s="705"/>
      <c r="E106" s="814"/>
      <c r="F106" s="705"/>
      <c r="G106" s="705"/>
      <c r="H106" s="722"/>
      <c r="I106" s="837"/>
      <c r="J106" s="705"/>
      <c r="K106" s="814"/>
      <c r="L106" s="705"/>
      <c r="M106" s="705"/>
      <c r="N106" s="722"/>
      <c r="O106" s="837"/>
      <c r="P106" s="705"/>
      <c r="Q106" s="814"/>
      <c r="R106" s="705"/>
      <c r="S106" s="705"/>
      <c r="T106" s="722"/>
      <c r="U106" s="837"/>
      <c r="V106" s="705"/>
      <c r="W106" s="814"/>
      <c r="X106" s="705"/>
      <c r="Y106" s="705"/>
      <c r="Z106" s="722"/>
      <c r="AA106" s="826"/>
      <c r="AB106" s="824"/>
      <c r="AC106" s="814"/>
      <c r="AD106" s="705"/>
      <c r="AE106" s="705"/>
      <c r="AF106" s="722"/>
      <c r="AG106" s="701"/>
      <c r="AH106" s="202" t="s">
        <v>50</v>
      </c>
      <c r="AI106" s="4"/>
      <c r="AJ106" s="4"/>
      <c r="AK106" s="1"/>
      <c r="AL106" s="2"/>
    </row>
    <row r="107" spans="1:39" s="3" customFormat="1" outlineLevel="1" x14ac:dyDescent="0.2">
      <c r="A107" s="111" t="s">
        <v>51</v>
      </c>
      <c r="B107" s="130">
        <f>B18</f>
        <v>0</v>
      </c>
      <c r="C107" s="131">
        <f>C18</f>
        <v>0</v>
      </c>
      <c r="D107" s="642">
        <f>9*C107</f>
        <v>0</v>
      </c>
      <c r="E107" s="638">
        <f>B107*(1+$H$13)</f>
        <v>0</v>
      </c>
      <c r="F107" s="175">
        <f>IF(E107&gt;($N$2*9),((C107*E107)-F18),0)</f>
        <v>0</v>
      </c>
      <c r="G107" s="175">
        <f>ROUND(F107*$N$5,0)</f>
        <v>0</v>
      </c>
      <c r="H107" s="176">
        <f t="shared" ref="H107:H111" si="32">ROUND(SUM(F107:G107),0)</f>
        <v>0</v>
      </c>
      <c r="I107" s="131">
        <f>I18</f>
        <v>0</v>
      </c>
      <c r="J107" s="642">
        <f>9*I107</f>
        <v>0</v>
      </c>
      <c r="K107" s="638">
        <f>IF($B$10&gt;1,B107*(1+$H$13)*(1+$N$13),0)</f>
        <v>0</v>
      </c>
      <c r="L107" s="175">
        <f>IF(K107&gt;($N$2*9),((I107*K107)-L18),0)</f>
        <v>0</v>
      </c>
      <c r="M107" s="175">
        <f>ROUND(L107*$N$5,0)</f>
        <v>0</v>
      </c>
      <c r="N107" s="176">
        <f t="shared" ref="N107" si="33">ROUND(SUM(L107:M107),0)</f>
        <v>0</v>
      </c>
      <c r="O107" s="131">
        <f>O18</f>
        <v>0</v>
      </c>
      <c r="P107" s="642">
        <f>9*O107</f>
        <v>0</v>
      </c>
      <c r="Q107" s="638">
        <f>IF($B$10&gt;2,B107*(1+$H$13)*(1+$N$13)*(1+$T$13),0)</f>
        <v>0</v>
      </c>
      <c r="R107" s="175">
        <f>IF(Q107&gt;($N$2*9),((O107*Q107)-R18),0)</f>
        <v>0</v>
      </c>
      <c r="S107" s="175">
        <f>ROUND(R107*$N$5,0)</f>
        <v>0</v>
      </c>
      <c r="T107" s="176">
        <f t="shared" ref="T107:T111" si="34">ROUND(SUM(R107:S107),0)</f>
        <v>0</v>
      </c>
      <c r="U107" s="131">
        <f>U18</f>
        <v>0</v>
      </c>
      <c r="V107" s="642">
        <f>9*U107</f>
        <v>0</v>
      </c>
      <c r="W107" s="638">
        <f>IF($B$10&gt;3,B107*(1+$H$13)*(1+$N$13)*(1+$T$13)*(1+$Z$13),0)</f>
        <v>0</v>
      </c>
      <c r="X107" s="175">
        <f>IF(W107&gt;($N$2*9),((U107*W107)-X18),0)</f>
        <v>0</v>
      </c>
      <c r="Y107" s="175">
        <f>ROUND(X107*$N$5,0)</f>
        <v>0</v>
      </c>
      <c r="Z107" s="176">
        <f t="shared" ref="Z107:Z111" si="35">ROUND(SUM(X107:Y107),0)</f>
        <v>0</v>
      </c>
      <c r="AA107" s="131">
        <f>AA18</f>
        <v>0</v>
      </c>
      <c r="AB107" s="642">
        <f>9*AA107</f>
        <v>0</v>
      </c>
      <c r="AC107" s="638">
        <f>IF($B$10&gt;4,B107*(1+$H$13)*(1+$N$13)*(1+$T$13)*(1+$Z$13)*(1+$AF$13),0)</f>
        <v>0</v>
      </c>
      <c r="AD107" s="175">
        <f>IF(AC107&gt;($N$2*9),((AA107*AC107)-AD18),0)</f>
        <v>0</v>
      </c>
      <c r="AE107" s="175">
        <f>ROUND(AD107*$N$5,0)</f>
        <v>0</v>
      </c>
      <c r="AF107" s="176">
        <f t="shared" ref="AF107:AF111" si="36">ROUND(SUM(AD107:AE107),0)</f>
        <v>0</v>
      </c>
      <c r="AG107" s="145">
        <f t="shared" ref="AG107:AG109" si="37">ROUND(SUM(H107,N107,T107,Z107,AF107),0)</f>
        <v>0</v>
      </c>
      <c r="AH107" s="206" t="s">
        <v>51</v>
      </c>
      <c r="AI107" s="4"/>
      <c r="AJ107" s="4"/>
      <c r="AK107" s="1"/>
      <c r="AL107" s="2"/>
    </row>
    <row r="108" spans="1:39" s="3" customFormat="1" outlineLevel="1" x14ac:dyDescent="0.2">
      <c r="A108" s="113" t="s">
        <v>52</v>
      </c>
      <c r="B108" s="666">
        <f t="shared" ref="B108:C108" si="38">B19</f>
        <v>0</v>
      </c>
      <c r="C108" s="131">
        <f t="shared" si="38"/>
        <v>0</v>
      </c>
      <c r="D108" s="642">
        <f>3*C108</f>
        <v>0</v>
      </c>
      <c r="E108" s="638">
        <f>B108*(1+$H$13)</f>
        <v>0</v>
      </c>
      <c r="F108" s="175">
        <f>IF(E108&gt;($N$2*3),((C108*E108)-F19),0)</f>
        <v>0</v>
      </c>
      <c r="G108" s="175">
        <f>ROUND(F108*$N$8,0)</f>
        <v>0</v>
      </c>
      <c r="H108" s="176">
        <f t="shared" si="32"/>
        <v>0</v>
      </c>
      <c r="I108" s="131">
        <f t="shared" ref="I108" si="39">I19</f>
        <v>0</v>
      </c>
      <c r="J108" s="642">
        <f>3*I108</f>
        <v>0</v>
      </c>
      <c r="K108" s="638">
        <f t="shared" ref="K108:K111" si="40">IF($B$10&gt;1,B108*(1+$H$13)*(1+$N$13),0)</f>
        <v>0</v>
      </c>
      <c r="L108" s="175">
        <f>IF(K108&gt;($N$2*3),((I108*K108)-L19),0)</f>
        <v>0</v>
      </c>
      <c r="M108" s="175">
        <f>ROUND(L108*$N$8,0)</f>
        <v>0</v>
      </c>
      <c r="N108" s="176">
        <f>ROUND(SUM(L108:M108),0)</f>
        <v>0</v>
      </c>
      <c r="O108" s="131">
        <f t="shared" ref="O108" si="41">O19</f>
        <v>0</v>
      </c>
      <c r="P108" s="642">
        <f>3*O108</f>
        <v>0</v>
      </c>
      <c r="Q108" s="638">
        <f t="shared" ref="Q108:Q111" si="42">IF($B$10&gt;2,B108*(1+$H$13)*(1+$N$13)*(1+$T$13),0)</f>
        <v>0</v>
      </c>
      <c r="R108" s="175">
        <f>IF(Q108&gt;($N$2*3),((O108*Q108)-R19),0)</f>
        <v>0</v>
      </c>
      <c r="S108" s="175">
        <f>ROUND(R108*$N$8,0)</f>
        <v>0</v>
      </c>
      <c r="T108" s="176">
        <f t="shared" si="34"/>
        <v>0</v>
      </c>
      <c r="U108" s="131">
        <f t="shared" ref="U108" si="43">U19</f>
        <v>0</v>
      </c>
      <c r="V108" s="642">
        <f>3*U108</f>
        <v>0</v>
      </c>
      <c r="W108" s="638">
        <f t="shared" ref="W108:W111" si="44">IF($B$10&gt;3,B108*(1+$H$13)*(1+$N$13)*(1+$T$13)*(1+$Z$13),0)</f>
        <v>0</v>
      </c>
      <c r="X108" s="175">
        <f>IF(W108&gt;($N$2*3),((U108*W108)-X19),0)</f>
        <v>0</v>
      </c>
      <c r="Y108" s="175">
        <f>ROUND(X108*$N$8,0)</f>
        <v>0</v>
      </c>
      <c r="Z108" s="176">
        <f t="shared" si="35"/>
        <v>0</v>
      </c>
      <c r="AA108" s="131">
        <f t="shared" ref="AA108" si="45">AA19</f>
        <v>0</v>
      </c>
      <c r="AB108" s="642">
        <f>3*AA108</f>
        <v>0</v>
      </c>
      <c r="AC108" s="638">
        <f t="shared" ref="AC108:AC111" si="46">IF($B$10&gt;4,B108*(1+$H$13)*(1+$N$13)*(1+$T$13)*(1+$Z$13)*(1+$AF$13),0)</f>
        <v>0</v>
      </c>
      <c r="AD108" s="175">
        <f>IF(AC108&gt;($N$2*3),((AA108*AC108)-AD19),0)</f>
        <v>0</v>
      </c>
      <c r="AE108" s="175">
        <f>ROUND(AD108*$N$8,0)</f>
        <v>0</v>
      </c>
      <c r="AF108" s="176">
        <f t="shared" si="36"/>
        <v>0</v>
      </c>
      <c r="AG108" s="145">
        <f t="shared" si="37"/>
        <v>0</v>
      </c>
      <c r="AH108" s="206" t="s">
        <v>52</v>
      </c>
      <c r="AI108" s="4"/>
      <c r="AJ108" s="4"/>
      <c r="AK108" s="1"/>
      <c r="AL108" s="2"/>
    </row>
    <row r="109" spans="1:39" s="3" customFormat="1" outlineLevel="1" x14ac:dyDescent="0.2">
      <c r="A109" s="113" t="s">
        <v>53</v>
      </c>
      <c r="B109" s="130">
        <f t="shared" ref="B109:C109" si="47">B20</f>
        <v>0</v>
      </c>
      <c r="C109" s="131">
        <f t="shared" si="47"/>
        <v>0</v>
      </c>
      <c r="D109" s="642">
        <f>10*C109</f>
        <v>0</v>
      </c>
      <c r="E109" s="638">
        <f>B109*(1+$H$13)</f>
        <v>0</v>
      </c>
      <c r="F109" s="175">
        <f>IF(E109&gt;($N$2*10),((C109*E109)-F20),0)</f>
        <v>0</v>
      </c>
      <c r="G109" s="175">
        <f>ROUND(F109*$N$5,0)</f>
        <v>0</v>
      </c>
      <c r="H109" s="176">
        <f t="shared" si="32"/>
        <v>0</v>
      </c>
      <c r="I109" s="131">
        <f t="shared" ref="I109" si="48">I20</f>
        <v>0</v>
      </c>
      <c r="J109" s="642">
        <f>10*I109</f>
        <v>0</v>
      </c>
      <c r="K109" s="638">
        <f t="shared" si="40"/>
        <v>0</v>
      </c>
      <c r="L109" s="175">
        <f>IF(K109&gt;($N$2*10),((I109*K109)-L20),0)</f>
        <v>0</v>
      </c>
      <c r="M109" s="175">
        <f>ROUND(L109*$N$5,0)</f>
        <v>0</v>
      </c>
      <c r="N109" s="176">
        <f t="shared" ref="N109:N111" si="49">ROUND(SUM(L109:M109),0)</f>
        <v>0</v>
      </c>
      <c r="O109" s="131">
        <f t="shared" ref="O109" si="50">O20</f>
        <v>0</v>
      </c>
      <c r="P109" s="642">
        <f>10*O109</f>
        <v>0</v>
      </c>
      <c r="Q109" s="638">
        <f t="shared" si="42"/>
        <v>0</v>
      </c>
      <c r="R109" s="175">
        <f>IF(Q109&gt;($N$2*10),((O109*Q109)-R20),0)</f>
        <v>0</v>
      </c>
      <c r="S109" s="175">
        <f>ROUND(R109*$N$5,0)</f>
        <v>0</v>
      </c>
      <c r="T109" s="176">
        <f t="shared" si="34"/>
        <v>0</v>
      </c>
      <c r="U109" s="131">
        <f t="shared" ref="U109" si="51">U20</f>
        <v>0</v>
      </c>
      <c r="V109" s="642">
        <f>10*U109</f>
        <v>0</v>
      </c>
      <c r="W109" s="638">
        <f t="shared" si="44"/>
        <v>0</v>
      </c>
      <c r="X109" s="175">
        <f>IF(W109&gt;($N$2*10),((U109*W109)-X20),0)</f>
        <v>0</v>
      </c>
      <c r="Y109" s="175">
        <f>ROUND(X109*$N$5,0)</f>
        <v>0</v>
      </c>
      <c r="Z109" s="176">
        <f t="shared" si="35"/>
        <v>0</v>
      </c>
      <c r="AA109" s="131">
        <f t="shared" ref="AA109" si="52">AA20</f>
        <v>0</v>
      </c>
      <c r="AB109" s="642">
        <f>10*AA109</f>
        <v>0</v>
      </c>
      <c r="AC109" s="638">
        <f t="shared" si="46"/>
        <v>0</v>
      </c>
      <c r="AD109" s="175">
        <f>IF(AC109&gt;($N$2*10),((AA109*AC109)-AD20),0)</f>
        <v>0</v>
      </c>
      <c r="AE109" s="175">
        <f>ROUND(AD109*$N$5,0)</f>
        <v>0</v>
      </c>
      <c r="AF109" s="176">
        <f t="shared" si="36"/>
        <v>0</v>
      </c>
      <c r="AG109" s="145">
        <f t="shared" si="37"/>
        <v>0</v>
      </c>
      <c r="AH109" s="206" t="s">
        <v>53</v>
      </c>
      <c r="AI109" s="4"/>
      <c r="AJ109" s="4"/>
      <c r="AK109" s="1"/>
      <c r="AL109" s="2"/>
    </row>
    <row r="110" spans="1:39" s="3" customFormat="1" outlineLevel="1" x14ac:dyDescent="0.2">
      <c r="A110" s="113" t="s">
        <v>54</v>
      </c>
      <c r="B110" s="666">
        <f t="shared" ref="B110:C110" si="53">B21</f>
        <v>0</v>
      </c>
      <c r="C110" s="131">
        <f t="shared" si="53"/>
        <v>0</v>
      </c>
      <c r="D110" s="642">
        <f>2*C110</f>
        <v>0</v>
      </c>
      <c r="E110" s="638">
        <f t="shared" ref="E110:E111" si="54">B110*(1+$H$13)</f>
        <v>0</v>
      </c>
      <c r="F110" s="175">
        <f>IF(E110&gt;($N$2*2),((C110*E110)-F21),0)</f>
        <v>0</v>
      </c>
      <c r="G110" s="175">
        <f>ROUND(F110*$N$8,0)</f>
        <v>0</v>
      </c>
      <c r="H110" s="176">
        <f t="shared" si="32"/>
        <v>0</v>
      </c>
      <c r="I110" s="131">
        <f t="shared" ref="I110" si="55">I21</f>
        <v>0</v>
      </c>
      <c r="J110" s="642">
        <f>2*I110</f>
        <v>0</v>
      </c>
      <c r="K110" s="638">
        <f t="shared" si="40"/>
        <v>0</v>
      </c>
      <c r="L110" s="175">
        <f>IF(K110&gt;($N$2*2),((I110*K110)-L21),0)</f>
        <v>0</v>
      </c>
      <c r="M110" s="175">
        <f>ROUND(L110*$N$8,0)</f>
        <v>0</v>
      </c>
      <c r="N110" s="176">
        <f t="shared" si="49"/>
        <v>0</v>
      </c>
      <c r="O110" s="131">
        <f t="shared" ref="O110" si="56">O21</f>
        <v>0</v>
      </c>
      <c r="P110" s="642">
        <f>2*O110</f>
        <v>0</v>
      </c>
      <c r="Q110" s="638">
        <f t="shared" si="42"/>
        <v>0</v>
      </c>
      <c r="R110" s="175">
        <f>IF(Q110&gt;($N$2*2),((O110*Q110)-R21),0)</f>
        <v>0</v>
      </c>
      <c r="S110" s="175">
        <f>ROUND(R110*$N$8,0)</f>
        <v>0</v>
      </c>
      <c r="T110" s="176">
        <f t="shared" si="34"/>
        <v>0</v>
      </c>
      <c r="U110" s="131">
        <f t="shared" ref="U110" si="57">U21</f>
        <v>0</v>
      </c>
      <c r="V110" s="642">
        <f>2*U110</f>
        <v>0</v>
      </c>
      <c r="W110" s="638">
        <f t="shared" si="44"/>
        <v>0</v>
      </c>
      <c r="X110" s="175">
        <f>IF(W110&gt;($N$2*2),((U110*W110)-X21),0)</f>
        <v>0</v>
      </c>
      <c r="Y110" s="175">
        <f>ROUND(X110*$N$8,0)</f>
        <v>0</v>
      </c>
      <c r="Z110" s="176">
        <f t="shared" si="35"/>
        <v>0</v>
      </c>
      <c r="AA110" s="131">
        <f t="shared" ref="AA110" si="58">AA21</f>
        <v>0</v>
      </c>
      <c r="AB110" s="642">
        <f>2*AA110</f>
        <v>0</v>
      </c>
      <c r="AC110" s="638">
        <f t="shared" si="46"/>
        <v>0</v>
      </c>
      <c r="AD110" s="175">
        <f>IF(AC110&gt;($N$2*2),((AA110*AC110)-AD21),0)</f>
        <v>0</v>
      </c>
      <c r="AE110" s="175">
        <f>ROUND(AD110*$N$8,0)</f>
        <v>0</v>
      </c>
      <c r="AF110" s="176">
        <f t="shared" si="36"/>
        <v>0</v>
      </c>
      <c r="AG110" s="145">
        <f>ROUND(SUM(H110,N110,T110,Z110,AF110),0)</f>
        <v>0</v>
      </c>
      <c r="AH110" s="206" t="s">
        <v>54</v>
      </c>
      <c r="AI110" s="4"/>
      <c r="AJ110" s="4"/>
      <c r="AK110" s="1"/>
      <c r="AL110" s="2"/>
    </row>
    <row r="111" spans="1:39" s="3" customFormat="1" outlineLevel="1" x14ac:dyDescent="0.2">
      <c r="A111" s="113" t="s">
        <v>55</v>
      </c>
      <c r="B111" s="130">
        <f t="shared" ref="B111:C111" si="59">B22</f>
        <v>0</v>
      </c>
      <c r="C111" s="131">
        <f t="shared" si="59"/>
        <v>0</v>
      </c>
      <c r="D111" s="642">
        <f>12*C111</f>
        <v>0</v>
      </c>
      <c r="E111" s="638">
        <f t="shared" si="54"/>
        <v>0</v>
      </c>
      <c r="F111" s="175">
        <f>IF(E111&gt;$N$3,((C111*E111)-F22),0)</f>
        <v>0</v>
      </c>
      <c r="G111" s="175">
        <f>ROUND(F111*$N$5,0)</f>
        <v>0</v>
      </c>
      <c r="H111" s="176">
        <f t="shared" si="32"/>
        <v>0</v>
      </c>
      <c r="I111" s="131">
        <f t="shared" ref="I111" si="60">I22</f>
        <v>0</v>
      </c>
      <c r="J111" s="642">
        <f t="shared" ref="J111" si="61">12*I111</f>
        <v>0</v>
      </c>
      <c r="K111" s="638">
        <f t="shared" si="40"/>
        <v>0</v>
      </c>
      <c r="L111" s="175">
        <f>IF(K111&gt;$N$3,((I111*K111)-L22),0)</f>
        <v>0</v>
      </c>
      <c r="M111" s="175">
        <f>ROUND(L111*$N$5,0)</f>
        <v>0</v>
      </c>
      <c r="N111" s="176">
        <f t="shared" si="49"/>
        <v>0</v>
      </c>
      <c r="O111" s="131">
        <f t="shared" ref="O111" si="62">O22</f>
        <v>0</v>
      </c>
      <c r="P111" s="642">
        <f t="shared" ref="P111" si="63">12*O111</f>
        <v>0</v>
      </c>
      <c r="Q111" s="638">
        <f t="shared" si="42"/>
        <v>0</v>
      </c>
      <c r="R111" s="175">
        <f>IF(Q111&gt;$N$3,((O111*Q111)-R22),0)</f>
        <v>0</v>
      </c>
      <c r="S111" s="175">
        <f>ROUND(R111*$N$5,0)</f>
        <v>0</v>
      </c>
      <c r="T111" s="176">
        <f t="shared" si="34"/>
        <v>0</v>
      </c>
      <c r="U111" s="131">
        <f t="shared" ref="U111" si="64">U22</f>
        <v>0</v>
      </c>
      <c r="V111" s="642">
        <f t="shared" ref="V111" si="65">12*U111</f>
        <v>0</v>
      </c>
      <c r="W111" s="638">
        <f t="shared" si="44"/>
        <v>0</v>
      </c>
      <c r="X111" s="175">
        <f>IF(W111&gt;$N$3,((U111*W111)-X22),0)</f>
        <v>0</v>
      </c>
      <c r="Y111" s="175">
        <f>ROUND(X111*$N$5,0)</f>
        <v>0</v>
      </c>
      <c r="Z111" s="176">
        <f t="shared" si="35"/>
        <v>0</v>
      </c>
      <c r="AA111" s="131">
        <f t="shared" ref="AA111" si="66">AA22</f>
        <v>0</v>
      </c>
      <c r="AB111" s="642">
        <f t="shared" ref="AB111" si="67">12*AA111</f>
        <v>0</v>
      </c>
      <c r="AC111" s="638">
        <f t="shared" si="46"/>
        <v>0</v>
      </c>
      <c r="AD111" s="175">
        <f>IF(AC111&gt;$N$3,((AA111*AC111)-AD22),0)</f>
        <v>0</v>
      </c>
      <c r="AE111" s="175">
        <f>ROUND(AD111*$N$5,0)</f>
        <v>0</v>
      </c>
      <c r="AF111" s="176">
        <f t="shared" si="36"/>
        <v>0</v>
      </c>
      <c r="AG111" s="145">
        <f t="shared" ref="AG111" si="68">ROUND(SUM(H111,N111,T111,Z111,AF111),0)</f>
        <v>0</v>
      </c>
      <c r="AH111" s="206" t="s">
        <v>55</v>
      </c>
      <c r="AI111" s="4"/>
      <c r="AJ111" s="4"/>
      <c r="AK111" s="1"/>
      <c r="AL111" s="2"/>
    </row>
  </sheetData>
  <sheetProtection sheet="1" objects="1" scenarios="1"/>
  <mergeCells count="168">
    <mergeCell ref="AB104:AB106"/>
    <mergeCell ref="AC104:AC106"/>
    <mergeCell ref="AD104:AD106"/>
    <mergeCell ref="AE104:AE106"/>
    <mergeCell ref="AF104:AF106"/>
    <mergeCell ref="AG104:AG106"/>
    <mergeCell ref="R104:R106"/>
    <mergeCell ref="S104:S106"/>
    <mergeCell ref="T104:T106"/>
    <mergeCell ref="U104:U106"/>
    <mergeCell ref="V104:V106"/>
    <mergeCell ref="W104:W106"/>
    <mergeCell ref="X104:X106"/>
    <mergeCell ref="Y104:Y106"/>
    <mergeCell ref="Z104:Z106"/>
    <mergeCell ref="O1:V4"/>
    <mergeCell ref="A103:A104"/>
    <mergeCell ref="C103:H103"/>
    <mergeCell ref="I103:N103"/>
    <mergeCell ref="O103:T103"/>
    <mergeCell ref="U103:Z103"/>
    <mergeCell ref="AA103:AF103"/>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 ref="Q104:Q106"/>
    <mergeCell ref="AA104:AA106"/>
    <mergeCell ref="A1:J3"/>
    <mergeCell ref="K1:N1"/>
    <mergeCell ref="K4:N4"/>
    <mergeCell ref="AA14:AF14"/>
    <mergeCell ref="U14:Z14"/>
    <mergeCell ref="O14:T14"/>
    <mergeCell ref="I14:N14"/>
    <mergeCell ref="C14:H14"/>
    <mergeCell ref="D32:G32"/>
    <mergeCell ref="I32:M32"/>
    <mergeCell ref="AD13:AE13"/>
    <mergeCell ref="A12:B12"/>
    <mergeCell ref="O32:S32"/>
    <mergeCell ref="U32:Y32"/>
    <mergeCell ref="AA32:AE32"/>
    <mergeCell ref="S15:S17"/>
    <mergeCell ref="T15:T17"/>
    <mergeCell ref="G15:G17"/>
    <mergeCell ref="H15:H17"/>
    <mergeCell ref="I15:I17"/>
    <mergeCell ref="J15:J17"/>
    <mergeCell ref="L15:L17"/>
    <mergeCell ref="M15:M17"/>
    <mergeCell ref="E15:E17"/>
    <mergeCell ref="AG15:AG17"/>
    <mergeCell ref="L13:M13"/>
    <mergeCell ref="R13:S13"/>
    <mergeCell ref="X13:Y13"/>
    <mergeCell ref="A14:A15"/>
    <mergeCell ref="B15:B17"/>
    <mergeCell ref="C15:C17"/>
    <mergeCell ref="D15:D17"/>
    <mergeCell ref="F15:F17"/>
    <mergeCell ref="AB15:AB17"/>
    <mergeCell ref="AD15:AD17"/>
    <mergeCell ref="AE15:AE17"/>
    <mergeCell ref="AF15:AF17"/>
    <mergeCell ref="U15:U17"/>
    <mergeCell ref="V15:V17"/>
    <mergeCell ref="X15:X17"/>
    <mergeCell ref="Y15:Y17"/>
    <mergeCell ref="Z15:Z17"/>
    <mergeCell ref="AA15:AA17"/>
    <mergeCell ref="N15:N17"/>
    <mergeCell ref="O15:O17"/>
    <mergeCell ref="AC15:AC17"/>
    <mergeCell ref="P15:P17"/>
    <mergeCell ref="R15:R17"/>
    <mergeCell ref="C36:F36"/>
    <mergeCell ref="I36:L36"/>
    <mergeCell ref="O36:R36"/>
    <mergeCell ref="U36:X36"/>
    <mergeCell ref="AA36:AD36"/>
    <mergeCell ref="B43:G43"/>
    <mergeCell ref="D33:G33"/>
    <mergeCell ref="I33:M33"/>
    <mergeCell ref="O33:S33"/>
    <mergeCell ref="U33:Y33"/>
    <mergeCell ref="AA33:AE33"/>
    <mergeCell ref="D34:G34"/>
    <mergeCell ref="I34:M34"/>
    <mergeCell ref="O34:S34"/>
    <mergeCell ref="U34:Y34"/>
    <mergeCell ref="AA34:AE34"/>
    <mergeCell ref="K15:K17"/>
    <mergeCell ref="Q15:Q17"/>
    <mergeCell ref="W15:W17"/>
    <mergeCell ref="C64:G64"/>
    <mergeCell ref="C67:F67"/>
    <mergeCell ref="I67:L67"/>
    <mergeCell ref="O67:R67"/>
    <mergeCell ref="U75:X75"/>
    <mergeCell ref="AA67:AD67"/>
    <mergeCell ref="C56:G56"/>
    <mergeCell ref="AA63:AD63"/>
    <mergeCell ref="C59:F59"/>
    <mergeCell ref="I59:L59"/>
    <mergeCell ref="O59:R59"/>
    <mergeCell ref="U59:X59"/>
    <mergeCell ref="AA59:AD59"/>
    <mergeCell ref="C60:G60"/>
    <mergeCell ref="C63:F63"/>
    <mergeCell ref="I63:L63"/>
    <mergeCell ref="O63:R63"/>
    <mergeCell ref="U63:X63"/>
    <mergeCell ref="C68:G68"/>
    <mergeCell ref="C71:F71"/>
    <mergeCell ref="I71:L71"/>
    <mergeCell ref="O71:R71"/>
    <mergeCell ref="U71:X71"/>
    <mergeCell ref="AA71:AD71"/>
    <mergeCell ref="C76:G76"/>
    <mergeCell ref="I76:M76"/>
    <mergeCell ref="O76:S76"/>
    <mergeCell ref="U76:Y76"/>
    <mergeCell ref="AA76:AE76"/>
    <mergeCell ref="U67:X67"/>
    <mergeCell ref="AA77:AE77"/>
    <mergeCell ref="C72:G72"/>
    <mergeCell ref="C75:F75"/>
    <mergeCell ref="I75:L75"/>
    <mergeCell ref="O75:R75"/>
    <mergeCell ref="A77:G77"/>
    <mergeCell ref="I77:M77"/>
    <mergeCell ref="O77:S77"/>
    <mergeCell ref="U77:Y77"/>
    <mergeCell ref="AA75:AD75"/>
    <mergeCell ref="D91:G91"/>
    <mergeCell ref="D90:G90"/>
    <mergeCell ref="U80:Y80"/>
    <mergeCell ref="AA80:AE80"/>
    <mergeCell ref="A78:G78"/>
    <mergeCell ref="I78:M78"/>
    <mergeCell ref="O78:S78"/>
    <mergeCell ref="U78:Y78"/>
    <mergeCell ref="O80:S80"/>
    <mergeCell ref="A81:G81"/>
    <mergeCell ref="I81:M81"/>
    <mergeCell ref="O81:S81"/>
    <mergeCell ref="AA78:AE78"/>
    <mergeCell ref="AA81:AE81"/>
    <mergeCell ref="A79:G79"/>
    <mergeCell ref="I79:M79"/>
    <mergeCell ref="O79:S79"/>
    <mergeCell ref="U79:Y79"/>
    <mergeCell ref="AA79:AE79"/>
    <mergeCell ref="A80:G80"/>
    <mergeCell ref="I80:M80"/>
    <mergeCell ref="U81:Y81"/>
  </mergeCells>
  <conditionalFormatting sqref="AJ53">
    <cfRule type="cellIs" dxfId="3" priority="1" operator="lessThan">
      <formula>0.02</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O100"/>
  <sheetViews>
    <sheetView zoomScaleNormal="100" workbookViewId="0">
      <selection activeCell="D30" sqref="D30"/>
    </sheetView>
  </sheetViews>
  <sheetFormatPr defaultRowHeight="12.75" outlineLevelRow="1" x14ac:dyDescent="0.2"/>
  <cols>
    <col min="1" max="1" width="29" style="4" customWidth="1"/>
    <col min="2" max="2" width="11.140625" style="4" customWidth="1"/>
    <col min="3" max="3" width="8.5703125" style="4" customWidth="1"/>
    <col min="4" max="4" width="7.140625" style="4" customWidth="1"/>
    <col min="5" max="5" width="10.140625" style="4" customWidth="1"/>
    <col min="6" max="6" width="10" style="4" customWidth="1"/>
    <col min="7" max="7" width="8.5703125" style="4" customWidth="1"/>
    <col min="8" max="8" width="9.42578125" style="4" customWidth="1"/>
    <col min="9" max="9" width="8.5703125" style="4" customWidth="1"/>
    <col min="10" max="10" width="7.28515625" style="4" customWidth="1"/>
    <col min="11" max="11" width="10" style="4" customWidth="1"/>
    <col min="12" max="12" width="10.42578125" style="4" customWidth="1"/>
    <col min="13" max="13" width="8.28515625" style="4" customWidth="1"/>
    <col min="14" max="14" width="9.42578125" style="4" customWidth="1"/>
    <col min="15" max="15" width="8.5703125" style="4" customWidth="1"/>
    <col min="16" max="16" width="7.42578125" style="4" customWidth="1"/>
    <col min="17" max="17" width="9.140625" style="4" customWidth="1"/>
    <col min="18" max="18" width="10" style="4" customWidth="1"/>
    <col min="19" max="19" width="10.28515625" style="4" customWidth="1"/>
    <col min="20" max="20" width="10" style="4" customWidth="1"/>
    <col min="21" max="21" width="8.5703125" style="4" customWidth="1"/>
    <col min="22" max="22" width="7.7109375" style="4" customWidth="1"/>
    <col min="23" max="23" width="9.5703125" style="4" customWidth="1"/>
    <col min="24" max="24" width="9.85546875" style="4" customWidth="1"/>
    <col min="25" max="25" width="8.7109375" style="4" customWidth="1"/>
    <col min="26" max="26" width="9.28515625" style="4" customWidth="1"/>
    <col min="27" max="27" width="8.5703125" style="4" customWidth="1"/>
    <col min="28" max="28" width="7.42578125" style="4" customWidth="1"/>
    <col min="29" max="29" width="9.42578125" style="4" customWidth="1"/>
    <col min="30" max="30" width="10.28515625" style="4" customWidth="1"/>
    <col min="31" max="31" width="8.140625" style="4" customWidth="1"/>
    <col min="32" max="32" width="9.85546875" style="4" customWidth="1"/>
    <col min="33" max="33" width="14.85546875" style="7" customWidth="1"/>
    <col min="34" max="34" width="36.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14.25" customHeight="1" x14ac:dyDescent="0.2">
      <c r="A1" s="827" t="s">
        <v>11</v>
      </c>
      <c r="B1" s="828"/>
      <c r="C1" s="828"/>
      <c r="D1" s="828"/>
      <c r="E1" s="828"/>
      <c r="F1" s="828"/>
      <c r="G1" s="828"/>
      <c r="H1" s="828"/>
      <c r="I1" s="828"/>
      <c r="J1" s="829"/>
      <c r="K1" s="655" t="s">
        <v>12</v>
      </c>
      <c r="L1" s="608"/>
      <c r="M1" s="608"/>
      <c r="N1" s="609"/>
      <c r="O1" s="220"/>
      <c r="P1" s="220"/>
      <c r="Q1" s="220"/>
      <c r="R1" s="220"/>
      <c r="S1" s="220"/>
      <c r="T1" s="220"/>
      <c r="U1" s="220"/>
      <c r="V1" s="220"/>
      <c r="W1" s="220"/>
      <c r="X1" s="220"/>
      <c r="Y1" s="220"/>
      <c r="Z1" s="220"/>
      <c r="AA1" s="220"/>
      <c r="AB1" s="220"/>
      <c r="AC1" s="220"/>
      <c r="AD1" s="220"/>
      <c r="AE1" s="220"/>
      <c r="AF1" s="220"/>
      <c r="AG1" s="221"/>
      <c r="AH1" s="199"/>
    </row>
    <row r="2" spans="1:62" ht="12.75" customHeight="1" x14ac:dyDescent="0.2">
      <c r="A2" s="830"/>
      <c r="B2" s="831"/>
      <c r="C2" s="831"/>
      <c r="D2" s="831"/>
      <c r="E2" s="831"/>
      <c r="F2" s="831"/>
      <c r="G2" s="831"/>
      <c r="H2" s="831"/>
      <c r="I2" s="831"/>
      <c r="J2" s="832"/>
      <c r="K2" s="222" t="s">
        <v>13</v>
      </c>
      <c r="L2" s="329"/>
      <c r="M2" s="625"/>
      <c r="N2" s="310">
        <f>N3/12</f>
        <v>18491.666666666668</v>
      </c>
      <c r="O2" s="224"/>
      <c r="P2" s="224"/>
      <c r="Q2" s="224"/>
      <c r="R2" s="224"/>
      <c r="S2" s="224"/>
      <c r="T2" s="224"/>
      <c r="U2" s="224"/>
      <c r="V2" s="224"/>
      <c r="W2" s="224"/>
      <c r="X2" s="224"/>
      <c r="Y2" s="224"/>
      <c r="Z2" s="224"/>
      <c r="AA2" s="224"/>
      <c r="AB2" s="224"/>
      <c r="AC2" s="224"/>
      <c r="AD2" s="224"/>
      <c r="AE2" s="224"/>
      <c r="AF2" s="224"/>
      <c r="AG2" s="225"/>
      <c r="AH2" s="200"/>
    </row>
    <row r="3" spans="1:62" ht="15.75" customHeight="1" thickBot="1" x14ac:dyDescent="0.25">
      <c r="A3" s="830"/>
      <c r="B3" s="831"/>
      <c r="C3" s="831"/>
      <c r="D3" s="831"/>
      <c r="E3" s="831"/>
      <c r="F3" s="831"/>
      <c r="G3" s="831"/>
      <c r="H3" s="831"/>
      <c r="I3" s="831"/>
      <c r="J3" s="832"/>
      <c r="K3" s="226" t="s">
        <v>14</v>
      </c>
      <c r="L3" s="333"/>
      <c r="M3" s="625"/>
      <c r="N3" s="600">
        <v>221900</v>
      </c>
      <c r="O3" s="223" t="s">
        <v>198</v>
      </c>
      <c r="P3" s="224"/>
      <c r="Q3" s="224"/>
      <c r="R3" s="224"/>
      <c r="S3" s="224"/>
      <c r="T3" s="224"/>
      <c r="U3" s="224"/>
      <c r="V3" s="224"/>
      <c r="W3" s="224"/>
      <c r="X3" s="224"/>
      <c r="Y3" s="224"/>
      <c r="Z3" s="224"/>
      <c r="AA3" s="224"/>
      <c r="AB3" s="224"/>
      <c r="AC3" s="224"/>
      <c r="AD3" s="224"/>
      <c r="AE3" s="224"/>
      <c r="AF3" s="224"/>
      <c r="AG3" s="225"/>
      <c r="AH3" s="200"/>
    </row>
    <row r="4" spans="1:62" s="5" customFormat="1" ht="12.75" customHeight="1" x14ac:dyDescent="0.2">
      <c r="A4" s="230" t="s">
        <v>15</v>
      </c>
      <c r="B4" s="100"/>
      <c r="C4" s="101"/>
      <c r="D4" s="102"/>
      <c r="E4" s="102"/>
      <c r="F4" s="102"/>
      <c r="G4" s="102"/>
      <c r="H4" s="101"/>
      <c r="I4" s="101"/>
      <c r="J4" s="101"/>
      <c r="K4" s="459" t="s">
        <v>16</v>
      </c>
      <c r="L4" s="610"/>
      <c r="M4" s="610"/>
      <c r="N4" s="611"/>
      <c r="O4" s="231"/>
      <c r="P4" s="231"/>
      <c r="Q4" s="231"/>
      <c r="R4" s="231"/>
      <c r="S4" s="231"/>
      <c r="T4" s="231"/>
      <c r="U4" s="231"/>
      <c r="V4" s="231"/>
      <c r="W4" s="231"/>
      <c r="X4" s="232"/>
      <c r="Y4" s="228"/>
      <c r="Z4" s="228"/>
      <c r="AA4" s="228"/>
      <c r="AB4" s="228"/>
      <c r="AC4" s="228"/>
      <c r="AD4" s="228"/>
      <c r="AE4" s="228"/>
      <c r="AF4" s="228"/>
      <c r="AG4" s="229"/>
      <c r="AH4" s="201"/>
      <c r="AI4" s="60"/>
      <c r="AJ4" s="60"/>
      <c r="AK4" s="61"/>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x14ac:dyDescent="0.2">
      <c r="A5" s="230" t="s">
        <v>17</v>
      </c>
      <c r="B5" s="100"/>
      <c r="C5" s="103"/>
      <c r="D5" s="104"/>
      <c r="E5" s="104"/>
      <c r="F5" s="104"/>
      <c r="G5" s="104"/>
      <c r="H5" s="103"/>
      <c r="I5" s="103"/>
      <c r="J5" s="103"/>
      <c r="K5" s="233" t="s">
        <v>18</v>
      </c>
      <c r="L5" s="234"/>
      <c r="M5" s="234"/>
      <c r="N5" s="235">
        <v>0.28599999999999998</v>
      </c>
      <c r="O5" s="231"/>
      <c r="P5" s="231"/>
      <c r="Q5" s="231"/>
      <c r="R5" s="231"/>
      <c r="S5" s="231"/>
      <c r="T5" s="231"/>
      <c r="U5" s="231"/>
      <c r="V5" s="231"/>
      <c r="W5" s="231"/>
      <c r="X5" s="232"/>
      <c r="Y5" s="236"/>
      <c r="Z5" s="236"/>
      <c r="AA5" s="236"/>
      <c r="AB5" s="228"/>
      <c r="AC5" s="228"/>
      <c r="AD5" s="228"/>
      <c r="AE5" s="228"/>
      <c r="AF5" s="228"/>
      <c r="AG5" s="229"/>
      <c r="AH5" s="201"/>
      <c r="AI5" s="60"/>
      <c r="AJ5" s="60"/>
      <c r="AK5" s="61"/>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x14ac:dyDescent="0.2">
      <c r="A6" s="230" t="s">
        <v>19</v>
      </c>
      <c r="B6" s="100"/>
      <c r="C6" s="103"/>
      <c r="D6" s="104"/>
      <c r="E6" s="104"/>
      <c r="F6" s="104"/>
      <c r="G6" s="104"/>
      <c r="H6" s="103"/>
      <c r="I6" s="103"/>
      <c r="J6" s="103"/>
      <c r="K6" s="237" t="s">
        <v>155</v>
      </c>
      <c r="L6" s="238"/>
      <c r="M6" s="238"/>
      <c r="N6" s="235">
        <v>0.22</v>
      </c>
      <c r="O6" s="231"/>
      <c r="P6" s="231"/>
      <c r="Q6" s="231"/>
      <c r="R6" s="231"/>
      <c r="S6" s="231"/>
      <c r="T6" s="231"/>
      <c r="U6" s="231"/>
      <c r="V6" s="231"/>
      <c r="W6" s="231"/>
      <c r="X6" s="232"/>
      <c r="Y6" s="236"/>
      <c r="Z6" s="236"/>
      <c r="AA6" s="236"/>
      <c r="AB6" s="228"/>
      <c r="AC6" s="228"/>
      <c r="AD6" s="228"/>
      <c r="AE6" s="228"/>
      <c r="AF6" s="228"/>
      <c r="AG6" s="229"/>
      <c r="AH6" s="201"/>
      <c r="AI6" s="60"/>
      <c r="AJ6" s="60"/>
      <c r="AK6" s="61"/>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x14ac:dyDescent="0.2">
      <c r="A7" s="239" t="s">
        <v>21</v>
      </c>
      <c r="B7" s="105"/>
      <c r="C7" s="103"/>
      <c r="D7" s="104"/>
      <c r="E7" s="104"/>
      <c r="F7" s="104"/>
      <c r="G7" s="104"/>
      <c r="H7" s="103"/>
      <c r="I7" s="103"/>
      <c r="J7" s="103"/>
      <c r="K7" s="240" t="s">
        <v>22</v>
      </c>
      <c r="L7" s="241"/>
      <c r="M7" s="241"/>
      <c r="N7" s="235">
        <v>0.05</v>
      </c>
      <c r="O7" s="224"/>
      <c r="P7" s="224"/>
      <c r="Q7" s="224"/>
      <c r="R7" s="224"/>
      <c r="S7" s="224"/>
      <c r="T7" s="224"/>
      <c r="U7" s="224"/>
      <c r="V7" s="224"/>
      <c r="W7" s="224"/>
      <c r="X7" s="228"/>
      <c r="Y7" s="228"/>
      <c r="Z7" s="228"/>
      <c r="AA7" s="228"/>
      <c r="AB7" s="242"/>
      <c r="AC7" s="242"/>
      <c r="AD7" s="228"/>
      <c r="AE7" s="228"/>
      <c r="AF7" s="228"/>
      <c r="AG7" s="229"/>
      <c r="AH7" s="201"/>
      <c r="AI7" s="60"/>
      <c r="AJ7" s="60"/>
      <c r="AK7" s="61"/>
      <c r="AL7" s="1"/>
      <c r="AM7" s="2"/>
      <c r="AN7" s="3"/>
      <c r="AO7" s="4"/>
      <c r="AP7" s="4"/>
      <c r="AQ7" s="4"/>
      <c r="AR7" s="4"/>
      <c r="AS7" s="4"/>
      <c r="AT7" s="4"/>
      <c r="AU7" s="4"/>
      <c r="AV7" s="4"/>
      <c r="AW7" s="4"/>
      <c r="AX7" s="4"/>
      <c r="AY7" s="4"/>
      <c r="AZ7" s="4"/>
      <c r="BA7" s="4"/>
      <c r="BB7" s="4"/>
      <c r="BC7" s="4"/>
      <c r="BD7" s="4"/>
      <c r="BE7" s="4"/>
      <c r="BF7" s="4"/>
      <c r="BG7" s="4"/>
      <c r="BH7" s="4"/>
      <c r="BI7" s="4"/>
      <c r="BJ7" s="4"/>
    </row>
    <row r="8" spans="1:62" s="5" customFormat="1" ht="14.25" customHeight="1" thickBot="1" x14ac:dyDescent="0.25">
      <c r="A8" s="230" t="s">
        <v>23</v>
      </c>
      <c r="B8" s="105"/>
      <c r="C8" s="103"/>
      <c r="D8" s="104"/>
      <c r="E8" s="104"/>
      <c r="F8" s="104"/>
      <c r="G8" s="104"/>
      <c r="H8" s="103"/>
      <c r="I8" s="103"/>
      <c r="J8" s="103"/>
      <c r="K8" s="243" t="s">
        <v>156</v>
      </c>
      <c r="L8" s="244"/>
      <c r="M8" s="244"/>
      <c r="N8" s="245">
        <v>0.11</v>
      </c>
      <c r="O8" s="224"/>
      <c r="P8" s="224"/>
      <c r="Q8" s="224"/>
      <c r="R8" s="224"/>
      <c r="S8" s="224"/>
      <c r="T8" s="224"/>
      <c r="U8" s="224"/>
      <c r="V8" s="224"/>
      <c r="W8" s="224"/>
      <c r="X8" s="228"/>
      <c r="Y8" s="228"/>
      <c r="Z8" s="228"/>
      <c r="AA8" s="228"/>
      <c r="AB8" s="228"/>
      <c r="AC8" s="228"/>
      <c r="AD8" s="228"/>
      <c r="AE8" s="228"/>
      <c r="AF8" s="228"/>
      <c r="AG8" s="229"/>
      <c r="AH8" s="201"/>
      <c r="AI8" s="60"/>
      <c r="AJ8" s="60"/>
      <c r="AK8" s="61"/>
      <c r="AL8" s="1"/>
      <c r="AM8" s="2"/>
      <c r="AN8" s="3"/>
      <c r="AO8" s="4"/>
      <c r="AP8" s="4"/>
      <c r="AQ8" s="4"/>
      <c r="AR8" s="4"/>
      <c r="AS8" s="4"/>
      <c r="AT8" s="4"/>
      <c r="AU8" s="4"/>
      <c r="AV8" s="4"/>
      <c r="AW8" s="4"/>
      <c r="AX8" s="4"/>
      <c r="AY8" s="4"/>
      <c r="AZ8" s="4"/>
      <c r="BA8" s="4"/>
      <c r="BB8" s="4"/>
      <c r="BC8" s="4"/>
      <c r="BD8" s="4"/>
      <c r="BE8" s="4"/>
      <c r="BF8" s="4"/>
      <c r="BG8" s="4"/>
      <c r="BH8" s="4"/>
      <c r="BI8" s="4"/>
      <c r="BJ8" s="4"/>
    </row>
    <row r="9" spans="1:62" s="6" customFormat="1" ht="15" customHeight="1" thickBot="1" x14ac:dyDescent="0.25">
      <c r="A9" s="230" t="s">
        <v>25</v>
      </c>
      <c r="B9" s="106"/>
      <c r="C9" s="103"/>
      <c r="D9" s="103"/>
      <c r="E9" s="103"/>
      <c r="F9" s="104"/>
      <c r="G9" s="104"/>
      <c r="H9" s="103"/>
      <c r="I9" s="103"/>
      <c r="J9" s="103"/>
      <c r="K9" s="246" t="s">
        <v>26</v>
      </c>
      <c r="L9" s="247"/>
      <c r="M9" s="247"/>
      <c r="N9" s="414">
        <v>0.38500000000000001</v>
      </c>
      <c r="O9" s="225"/>
      <c r="P9" s="225"/>
      <c r="Q9" s="225"/>
      <c r="R9" s="225"/>
      <c r="S9" s="225"/>
      <c r="T9" s="225"/>
      <c r="U9" s="225"/>
      <c r="V9" s="225"/>
      <c r="W9" s="225"/>
      <c r="X9" s="248"/>
      <c r="Y9" s="248"/>
      <c r="Z9" s="248"/>
      <c r="AA9" s="248"/>
      <c r="AB9" s="225"/>
      <c r="AC9" s="225"/>
      <c r="AD9" s="225"/>
      <c r="AE9" s="225"/>
      <c r="AF9" s="225"/>
      <c r="AG9" s="225"/>
      <c r="AH9" s="202"/>
      <c r="AI9" s="7"/>
      <c r="AJ9" s="7"/>
      <c r="AK9" s="8"/>
      <c r="AL9" s="9"/>
      <c r="AM9" s="10"/>
      <c r="AN9" s="7"/>
      <c r="AO9" s="7"/>
      <c r="AP9" s="7"/>
      <c r="AQ9" s="7"/>
      <c r="AR9" s="7"/>
      <c r="AS9" s="7"/>
      <c r="AT9" s="7"/>
      <c r="AU9" s="7"/>
      <c r="AV9" s="7"/>
      <c r="AW9" s="7"/>
      <c r="AX9" s="7"/>
      <c r="AY9" s="7"/>
      <c r="AZ9" s="7"/>
      <c r="BA9" s="7"/>
      <c r="BB9" s="7"/>
      <c r="BC9" s="7"/>
      <c r="BD9" s="7"/>
      <c r="BE9" s="7"/>
      <c r="BF9" s="7"/>
      <c r="BG9" s="7"/>
      <c r="BH9" s="7"/>
      <c r="BI9" s="7"/>
      <c r="BJ9" s="7"/>
    </row>
    <row r="10" spans="1:62" x14ac:dyDescent="0.2">
      <c r="A10" s="249" t="s">
        <v>27</v>
      </c>
      <c r="B10" s="129"/>
      <c r="C10" s="250"/>
      <c r="D10" s="250"/>
      <c r="E10" s="250"/>
      <c r="F10" s="250"/>
      <c r="G10" s="250"/>
      <c r="H10" s="225"/>
      <c r="I10" s="225"/>
      <c r="J10" s="225"/>
      <c r="K10" s="241" t="s">
        <v>199</v>
      </c>
      <c r="L10" s="241"/>
      <c r="M10" s="241"/>
      <c r="N10" s="241"/>
      <c r="O10" s="228"/>
      <c r="P10" s="228"/>
      <c r="Q10" s="228"/>
      <c r="R10" s="228"/>
      <c r="S10" s="228"/>
      <c r="T10" s="228"/>
      <c r="U10" s="228"/>
      <c r="V10" s="228"/>
      <c r="W10" s="228"/>
      <c r="X10" s="241"/>
      <c r="Y10" s="228"/>
      <c r="Z10" s="228"/>
      <c r="AA10" s="241"/>
      <c r="AB10" s="224"/>
      <c r="AC10" s="224"/>
      <c r="AD10" s="224"/>
      <c r="AE10" s="224"/>
      <c r="AF10" s="224"/>
      <c r="AG10" s="225"/>
      <c r="AH10" s="203"/>
    </row>
    <row r="11" spans="1:62" x14ac:dyDescent="0.2">
      <c r="A11" s="251" t="s">
        <v>28</v>
      </c>
      <c r="B11" s="103"/>
      <c r="C11" s="252"/>
      <c r="D11" s="225"/>
      <c r="E11" s="225"/>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5"/>
      <c r="AH11" s="203"/>
    </row>
    <row r="12" spans="1:62" x14ac:dyDescent="0.2">
      <c r="A12" s="251"/>
      <c r="B12" s="253" t="s">
        <v>29</v>
      </c>
      <c r="C12" s="109"/>
      <c r="D12" s="225"/>
      <c r="E12" s="225"/>
      <c r="F12" s="253" t="s">
        <v>30</v>
      </c>
      <c r="G12" s="109"/>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5"/>
      <c r="AH12" s="203"/>
    </row>
    <row r="13" spans="1:62" x14ac:dyDescent="0.2">
      <c r="A13" s="254"/>
      <c r="B13" s="255"/>
      <c r="C13" s="255"/>
      <c r="D13" s="255"/>
      <c r="E13" s="255"/>
      <c r="F13" s="255"/>
      <c r="G13" s="256" t="s">
        <v>31</v>
      </c>
      <c r="H13" s="110">
        <v>0</v>
      </c>
      <c r="I13" s="225"/>
      <c r="J13" s="225"/>
      <c r="K13" s="225"/>
      <c r="L13" s="805" t="s">
        <v>32</v>
      </c>
      <c r="M13" s="838"/>
      <c r="N13" s="110">
        <v>0</v>
      </c>
      <c r="O13" s="225"/>
      <c r="P13" s="225"/>
      <c r="Q13" s="225"/>
      <c r="R13" s="805" t="s">
        <v>33</v>
      </c>
      <c r="S13" s="838"/>
      <c r="T13" s="110">
        <f>N13</f>
        <v>0</v>
      </c>
      <c r="U13" s="225"/>
      <c r="V13" s="225"/>
      <c r="W13" s="225"/>
      <c r="X13" s="805" t="s">
        <v>34</v>
      </c>
      <c r="Y13" s="838"/>
      <c r="Z13" s="110">
        <f>T13</f>
        <v>0</v>
      </c>
      <c r="AA13" s="225"/>
      <c r="AB13" s="225"/>
      <c r="AC13" s="225"/>
      <c r="AD13" s="805" t="s">
        <v>35</v>
      </c>
      <c r="AE13" s="838"/>
      <c r="AF13" s="110">
        <f>Z13</f>
        <v>0</v>
      </c>
      <c r="AG13" s="225"/>
      <c r="AH13" s="200"/>
    </row>
    <row r="14" spans="1:62" ht="13.5" thickBot="1" x14ac:dyDescent="0.25">
      <c r="A14" s="716" t="s">
        <v>36</v>
      </c>
      <c r="B14" s="444"/>
      <c r="C14" s="695" t="s">
        <v>37</v>
      </c>
      <c r="D14" s="777"/>
      <c r="E14" s="777"/>
      <c r="F14" s="777"/>
      <c r="G14" s="777"/>
      <c r="H14" s="777"/>
      <c r="I14" s="695" t="s">
        <v>38</v>
      </c>
      <c r="J14" s="777"/>
      <c r="K14" s="777"/>
      <c r="L14" s="777"/>
      <c r="M14" s="777"/>
      <c r="N14" s="777"/>
      <c r="O14" s="695" t="s">
        <v>39</v>
      </c>
      <c r="P14" s="777"/>
      <c r="Q14" s="777"/>
      <c r="R14" s="777"/>
      <c r="S14" s="777"/>
      <c r="T14" s="777"/>
      <c r="U14" s="695" t="s">
        <v>40</v>
      </c>
      <c r="V14" s="777"/>
      <c r="W14" s="777"/>
      <c r="X14" s="777"/>
      <c r="Y14" s="777"/>
      <c r="Z14" s="777"/>
      <c r="AA14" s="695" t="s">
        <v>41</v>
      </c>
      <c r="AB14" s="777"/>
      <c r="AC14" s="777"/>
      <c r="AD14" s="777"/>
      <c r="AE14" s="777"/>
      <c r="AF14" s="777"/>
      <c r="AG14" s="354"/>
      <c r="AH14" s="200"/>
    </row>
    <row r="15" spans="1:62" ht="15.75" customHeight="1" x14ac:dyDescent="0.2">
      <c r="A15" s="716"/>
      <c r="B15" s="717" t="s">
        <v>188</v>
      </c>
      <c r="C15" s="719" t="s">
        <v>42</v>
      </c>
      <c r="D15" s="704" t="s">
        <v>43</v>
      </c>
      <c r="E15" s="813" t="s">
        <v>189</v>
      </c>
      <c r="F15" s="704" t="s">
        <v>44</v>
      </c>
      <c r="G15" s="706" t="s">
        <v>45</v>
      </c>
      <c r="H15" s="702" t="s">
        <v>46</v>
      </c>
      <c r="I15" s="719" t="s">
        <v>42</v>
      </c>
      <c r="J15" s="704" t="s">
        <v>43</v>
      </c>
      <c r="K15" s="813" t="s">
        <v>190</v>
      </c>
      <c r="L15" s="704" t="s">
        <v>44</v>
      </c>
      <c r="M15" s="706" t="s">
        <v>45</v>
      </c>
      <c r="N15" s="702" t="s">
        <v>46</v>
      </c>
      <c r="O15" s="719" t="s">
        <v>42</v>
      </c>
      <c r="P15" s="704" t="s">
        <v>43</v>
      </c>
      <c r="Q15" s="813" t="s">
        <v>191</v>
      </c>
      <c r="R15" s="704" t="s">
        <v>44</v>
      </c>
      <c r="S15" s="706" t="s">
        <v>45</v>
      </c>
      <c r="T15" s="702" t="s">
        <v>46</v>
      </c>
      <c r="U15" s="719" t="s">
        <v>42</v>
      </c>
      <c r="V15" s="704" t="s">
        <v>43</v>
      </c>
      <c r="W15" s="813" t="s">
        <v>192</v>
      </c>
      <c r="X15" s="704" t="s">
        <v>44</v>
      </c>
      <c r="Y15" s="706" t="s">
        <v>45</v>
      </c>
      <c r="Z15" s="702" t="s">
        <v>46</v>
      </c>
      <c r="AA15" s="825" t="s">
        <v>42</v>
      </c>
      <c r="AB15" s="823" t="s">
        <v>43</v>
      </c>
      <c r="AC15" s="813" t="s">
        <v>193</v>
      </c>
      <c r="AD15" s="823" t="s">
        <v>44</v>
      </c>
      <c r="AE15" s="706" t="s">
        <v>45</v>
      </c>
      <c r="AF15" s="702" t="s">
        <v>46</v>
      </c>
      <c r="AG15" s="700" t="s">
        <v>47</v>
      </c>
      <c r="AH15" s="204"/>
      <c r="AK15" s="4"/>
      <c r="AL15" s="4"/>
      <c r="AM15" s="4"/>
    </row>
    <row r="16" spans="1:62" s="11" customFormat="1" x14ac:dyDescent="0.2">
      <c r="A16" s="443" t="s">
        <v>48</v>
      </c>
      <c r="B16" s="718"/>
      <c r="C16" s="720"/>
      <c r="D16" s="705"/>
      <c r="E16" s="814"/>
      <c r="F16" s="705"/>
      <c r="G16" s="707"/>
      <c r="H16" s="703"/>
      <c r="I16" s="837"/>
      <c r="J16" s="705"/>
      <c r="K16" s="814"/>
      <c r="L16" s="705"/>
      <c r="M16" s="707"/>
      <c r="N16" s="703"/>
      <c r="O16" s="837"/>
      <c r="P16" s="705"/>
      <c r="Q16" s="814"/>
      <c r="R16" s="705"/>
      <c r="S16" s="707"/>
      <c r="T16" s="703"/>
      <c r="U16" s="837"/>
      <c r="V16" s="705"/>
      <c r="W16" s="814"/>
      <c r="X16" s="705"/>
      <c r="Y16" s="707"/>
      <c r="Z16" s="703"/>
      <c r="AA16" s="826"/>
      <c r="AB16" s="824"/>
      <c r="AC16" s="814"/>
      <c r="AD16" s="824"/>
      <c r="AE16" s="707"/>
      <c r="AF16" s="703"/>
      <c r="AG16" s="701"/>
      <c r="AH16" s="205"/>
    </row>
    <row r="17" spans="1:38" s="3" customFormat="1" x14ac:dyDescent="0.2">
      <c r="A17" s="442" t="s">
        <v>49</v>
      </c>
      <c r="B17" s="718"/>
      <c r="C17" s="720"/>
      <c r="D17" s="705"/>
      <c r="E17" s="814"/>
      <c r="F17" s="705"/>
      <c r="G17" s="707"/>
      <c r="H17" s="703"/>
      <c r="I17" s="837"/>
      <c r="J17" s="705"/>
      <c r="K17" s="814"/>
      <c r="L17" s="705"/>
      <c r="M17" s="707"/>
      <c r="N17" s="703"/>
      <c r="O17" s="837"/>
      <c r="P17" s="705"/>
      <c r="Q17" s="814"/>
      <c r="R17" s="705"/>
      <c r="S17" s="707"/>
      <c r="T17" s="703"/>
      <c r="U17" s="837"/>
      <c r="V17" s="705"/>
      <c r="W17" s="814"/>
      <c r="X17" s="705"/>
      <c r="Y17" s="707"/>
      <c r="Z17" s="703"/>
      <c r="AA17" s="826"/>
      <c r="AB17" s="824"/>
      <c r="AC17" s="814"/>
      <c r="AD17" s="824"/>
      <c r="AE17" s="707"/>
      <c r="AF17" s="703"/>
      <c r="AG17" s="701"/>
      <c r="AH17" s="202" t="s">
        <v>50</v>
      </c>
      <c r="AI17" s="4"/>
      <c r="AJ17" s="4"/>
      <c r="AK17" s="1"/>
      <c r="AL17" s="2"/>
    </row>
    <row r="18" spans="1:38" s="3" customFormat="1" x14ac:dyDescent="0.2">
      <c r="A18" s="111" t="s">
        <v>51</v>
      </c>
      <c r="B18" s="130"/>
      <c r="C18" s="131"/>
      <c r="D18" s="642">
        <f>9*C18</f>
        <v>0</v>
      </c>
      <c r="E18" s="638">
        <f>B18*(1+$H$13)</f>
        <v>0</v>
      </c>
      <c r="F18" s="175">
        <f>IF(($B18*(1+$H$13))&gt;=($N$2*9),ROUND(($N$2*9)*C18,0),ROUND(($C18*$B18*(1+$H$13)),0))</f>
        <v>0</v>
      </c>
      <c r="G18" s="175">
        <f>ROUND(F18*$N$5,0)</f>
        <v>0</v>
      </c>
      <c r="H18" s="176">
        <f t="shared" ref="H18:H28" si="0">ROUND(SUM(F18:G18),0)</f>
        <v>0</v>
      </c>
      <c r="I18" s="131"/>
      <c r="J18" s="642">
        <f>9*I18</f>
        <v>0</v>
      </c>
      <c r="K18" s="638">
        <f>IF($B$10&gt;1,B18*(1+$H$13)*(1+$N$13),0)</f>
        <v>0</v>
      </c>
      <c r="L18" s="175">
        <f>IF(($B18*(1+$H$13)*(1+$N$13))&gt;=($N$2*9),ROUND(($N$2*9)*I18,0),ROUND(($I18*$B18*(1+$H$13)*(1+$N$13)),0))</f>
        <v>0</v>
      </c>
      <c r="M18" s="175">
        <f>ROUND(L18*$N$5,0)</f>
        <v>0</v>
      </c>
      <c r="N18" s="176">
        <f t="shared" ref="N18:N28" si="1">ROUND(SUM(L18:M18),0)</f>
        <v>0</v>
      </c>
      <c r="O18" s="131"/>
      <c r="P18" s="642">
        <f>9*O18</f>
        <v>0</v>
      </c>
      <c r="Q18" s="638">
        <f>IF($B$10&gt;2,B18*(1+$H$13)*(1+$N$13)*(1+$T$13),0)</f>
        <v>0</v>
      </c>
      <c r="R18" s="175">
        <f>IF(($B18*(1+$H$13)*(1+$N$13)*(1+$T$13))&gt;=($N$2*9),ROUND(($N$2*9)*O18,0),ROUND(($O18*$B18*(1+$H$13)*(1+$N$13)*(1+$T$13)),0))</f>
        <v>0</v>
      </c>
      <c r="S18" s="175">
        <f>ROUND(R18*$N$5,0)</f>
        <v>0</v>
      </c>
      <c r="T18" s="176">
        <f t="shared" ref="T18:T28" si="2">ROUND(SUM(R18:S18),0)</f>
        <v>0</v>
      </c>
      <c r="U18" s="131"/>
      <c r="V18" s="642">
        <f>9*U18</f>
        <v>0</v>
      </c>
      <c r="W18" s="638">
        <f>IF($B$10&gt;3,B18*(1+$H$13)*(1+$N$13)*(1+$T$13)*(1+$Z$13),0)</f>
        <v>0</v>
      </c>
      <c r="X18" s="175">
        <f>IF(($B18*(1+$H$13)*(1+$N$13)*(1+$T$13)*(1+$Z$13))&gt;=($N$2*9),ROUND(($N$2*9)*U18,0),ROUND(($U18*$B18*(1+$H$13)*(1+$N$13)*(1+$T$13)*(1+$Z$13)),0))</f>
        <v>0</v>
      </c>
      <c r="Y18" s="175">
        <f>ROUND(X18*$N$5,0)</f>
        <v>0</v>
      </c>
      <c r="Z18" s="176">
        <f t="shared" ref="Z18:Z28" si="3">ROUND(SUM(X18:Y18),0)</f>
        <v>0</v>
      </c>
      <c r="AA18" s="131"/>
      <c r="AB18" s="642">
        <f>9*AA18</f>
        <v>0</v>
      </c>
      <c r="AC18" s="638">
        <f>IF($B$10&gt;4,B18*(1+$H$13)*(1+$N$13)*(1+$T$13)*(1+$Z$13)*(1+$AF$13),0)</f>
        <v>0</v>
      </c>
      <c r="AD18" s="175">
        <f>IF(($B18*(1+$H$13)*(1+$N$13)*(1+$T$13)*(1+$Z$13)*(1+$AF$13))&gt;=($N$2*9),ROUND(($N$2*9)*AA18,0),ROUND(($AA18*$B18*(1+$H$13)*(1+$N$13)*(1+$T$13)*(1+$Z$13)*(1+$AF$13)),0))</f>
        <v>0</v>
      </c>
      <c r="AE18" s="175">
        <f>ROUND(AD18*$N$5,0)</f>
        <v>0</v>
      </c>
      <c r="AF18" s="176">
        <f t="shared" ref="AF18:AF28" si="4">ROUND(SUM(AD18:AE18),0)</f>
        <v>0</v>
      </c>
      <c r="AG18" s="145">
        <f t="shared" ref="AG18:AG28" si="5">ROUND(SUM(H18,N18,T18,Z18,AF18),0)</f>
        <v>0</v>
      </c>
      <c r="AH18" s="206" t="s">
        <v>51</v>
      </c>
      <c r="AI18" s="4"/>
      <c r="AJ18" s="4"/>
      <c r="AK18" s="1"/>
      <c r="AL18" s="2"/>
    </row>
    <row r="19" spans="1:38" s="3" customFormat="1" x14ac:dyDescent="0.2">
      <c r="A19" s="113" t="s">
        <v>52</v>
      </c>
      <c r="B19" s="191">
        <f>B18/9*3</f>
        <v>0</v>
      </c>
      <c r="C19" s="132"/>
      <c r="D19" s="642">
        <f>3*C19</f>
        <v>0</v>
      </c>
      <c r="E19" s="638">
        <f>B19*(1+$H$13)</f>
        <v>0</v>
      </c>
      <c r="F19" s="175">
        <f>IF(($B19*(1+$H$13))&gt;=($N$2*3),ROUND(($N$2*3)*C19,0),ROUND(($C19*$B19*(1+$H$13)),0))</f>
        <v>0</v>
      </c>
      <c r="G19" s="175">
        <f>ROUND(F19*$N$8,0)</f>
        <v>0</v>
      </c>
      <c r="H19" s="176">
        <f t="shared" si="0"/>
        <v>0</v>
      </c>
      <c r="I19" s="132"/>
      <c r="J19" s="642">
        <f>3*I19</f>
        <v>0</v>
      </c>
      <c r="K19" s="638">
        <f t="shared" ref="K19:K28" si="6">IF($B$10&gt;1,B19*(1+$H$13)*(1+$N$13),0)</f>
        <v>0</v>
      </c>
      <c r="L19" s="175">
        <f>IF(($B19*(1+$H$13)*(1+$N$13))&gt;=($N$2*3),ROUND(($N$2*3)*I19,0),ROUND(($I19*$B19*(1+$H$13)*(1+$N$13)),0))</f>
        <v>0</v>
      </c>
      <c r="M19" s="175">
        <f>ROUND(L19*$N$8,0)</f>
        <v>0</v>
      </c>
      <c r="N19" s="176">
        <f>ROUND(SUM(L19:M19),0)</f>
        <v>0</v>
      </c>
      <c r="O19" s="132"/>
      <c r="P19" s="642">
        <f>3*O19</f>
        <v>0</v>
      </c>
      <c r="Q19" s="638">
        <f t="shared" ref="Q19:Q28" si="7">IF($B$10&gt;2,B19*(1+$H$13)*(1+$N$13)*(1+$T$13),0)</f>
        <v>0</v>
      </c>
      <c r="R19" s="175">
        <f>IF(($B19*(1+$H$13)*(1+$N$13)*(1+$T$13))&gt;=($N$2*3),ROUND(($N$2*3)*O19,0),ROUND(($O19*$B19*(1+$H$13)*(1+$N$13)*(1+$T$13)),0))</f>
        <v>0</v>
      </c>
      <c r="S19" s="175">
        <f>ROUND(R19*$N$8,0)</f>
        <v>0</v>
      </c>
      <c r="T19" s="176">
        <f t="shared" si="2"/>
        <v>0</v>
      </c>
      <c r="U19" s="132"/>
      <c r="V19" s="642">
        <f>3*U19</f>
        <v>0</v>
      </c>
      <c r="W19" s="638">
        <f t="shared" ref="W19:W28" si="8">IF($B$10&gt;3,B19*(1+$H$13)*(1+$N$13)*(1+$T$13)*(1+$Z$13),0)</f>
        <v>0</v>
      </c>
      <c r="X19" s="175">
        <f>IF(($B19*(1+$H$13)*(1+$N$13)*(1+$T$13)*(1+$Z$13))&gt;=($N$2*3),ROUND(($N$2*3)*U19,0),ROUND(($U19*$B19*(1+$H$13)*(1+$N$13)*(1+$T$13)*(1+$Z$13)),0))</f>
        <v>0</v>
      </c>
      <c r="Y19" s="175">
        <f>ROUND(X19*$N$8,0)</f>
        <v>0</v>
      </c>
      <c r="Z19" s="176">
        <f t="shared" si="3"/>
        <v>0</v>
      </c>
      <c r="AA19" s="132"/>
      <c r="AB19" s="642">
        <f>3*AA19</f>
        <v>0</v>
      </c>
      <c r="AC19" s="638">
        <f t="shared" ref="AC19:AC28" si="9">IF($B$10&gt;4,B19*(1+$H$13)*(1+$N$13)*(1+$T$13)*(1+$Z$13)*(1+$AF$13),0)</f>
        <v>0</v>
      </c>
      <c r="AD19" s="175">
        <f>IF(($B19*(1+$H$13)*(1+$N$13)*(1+$T$13)*(1+$Z$13)*(1+$AF$13))&gt;=($N$2*3),ROUND(($N$2*3)*AA19,0),ROUND(($AA19*$B19*(1+$H$13)*(1+$N$13)*(1+$T$13)*(1+$Z$13)*(1+$AF$13)),0))</f>
        <v>0</v>
      </c>
      <c r="AE19" s="175">
        <f>ROUND(AD19*$N$8,0)</f>
        <v>0</v>
      </c>
      <c r="AF19" s="176">
        <f t="shared" si="4"/>
        <v>0</v>
      </c>
      <c r="AG19" s="145">
        <f t="shared" si="5"/>
        <v>0</v>
      </c>
      <c r="AH19" s="206" t="s">
        <v>52</v>
      </c>
      <c r="AI19" s="4"/>
      <c r="AJ19" s="4"/>
      <c r="AK19" s="1"/>
      <c r="AL19" s="2"/>
    </row>
    <row r="20" spans="1:38" s="3" customFormat="1" x14ac:dyDescent="0.2">
      <c r="A20" s="113" t="s">
        <v>53</v>
      </c>
      <c r="B20" s="133"/>
      <c r="C20" s="132"/>
      <c r="D20" s="642">
        <f>10*C20</f>
        <v>0</v>
      </c>
      <c r="E20" s="638">
        <f>B20*(1+$H$13)</f>
        <v>0</v>
      </c>
      <c r="F20" s="175">
        <f>IF(($B20*(1+$H$13))&gt;=($N$2*10),ROUND(($N$2*10)*C20,0),ROUND(($C20*$B20*(1+$H$13)),0))</f>
        <v>0</v>
      </c>
      <c r="G20" s="175">
        <f>ROUND(F20*$N$5,0)</f>
        <v>0</v>
      </c>
      <c r="H20" s="176">
        <f t="shared" si="0"/>
        <v>0</v>
      </c>
      <c r="I20" s="132"/>
      <c r="J20" s="642">
        <f>10*I20</f>
        <v>0</v>
      </c>
      <c r="K20" s="638">
        <f t="shared" si="6"/>
        <v>0</v>
      </c>
      <c r="L20" s="175">
        <f>IF(($B20*(1+$H$13)*(1+$N$13))&gt;=($N$2*10),ROUND(($N$2*10)*I20,0),ROUND(($I20*$B20*(1+$H$13)*(1+$N$13)),0))</f>
        <v>0</v>
      </c>
      <c r="M20" s="175">
        <f>ROUND(L20*$N$5,0)</f>
        <v>0</v>
      </c>
      <c r="N20" s="176">
        <f t="shared" si="1"/>
        <v>0</v>
      </c>
      <c r="O20" s="132"/>
      <c r="P20" s="642">
        <f>10*O20</f>
        <v>0</v>
      </c>
      <c r="Q20" s="638">
        <f t="shared" si="7"/>
        <v>0</v>
      </c>
      <c r="R20" s="175">
        <f>IF(($B20*(1+$H$13)*(1+$N$13)*(1+$T$13))&gt;=($N$2*9),ROUND(($N$2*9)*O20,0),ROUND(($O20*$B20*(1+$H$13)*(1+$N$13)*(1+$T$13)),0))</f>
        <v>0</v>
      </c>
      <c r="S20" s="175">
        <f>ROUND(R20*$N$5,0)</f>
        <v>0</v>
      </c>
      <c r="T20" s="176">
        <f t="shared" si="2"/>
        <v>0</v>
      </c>
      <c r="U20" s="132"/>
      <c r="V20" s="642">
        <f>10*U20</f>
        <v>0</v>
      </c>
      <c r="W20" s="638">
        <f t="shared" si="8"/>
        <v>0</v>
      </c>
      <c r="X20" s="175">
        <f>IF(($B20*(1+$H$13)*(1+$N$13)*(1+$T$13)*(1+$Z$13))&gt;=($N$2*9),ROUND(($N$2*9)*U20,0),ROUND(($U20*$B20*(1+$H$13)*(1+$N$13)*(1+$T$13)*(1+$Z$13)),0))</f>
        <v>0</v>
      </c>
      <c r="Y20" s="175">
        <f>ROUND(X20*$N$5,0)</f>
        <v>0</v>
      </c>
      <c r="Z20" s="176">
        <f t="shared" si="3"/>
        <v>0</v>
      </c>
      <c r="AA20" s="132"/>
      <c r="AB20" s="642">
        <f>10*AA20</f>
        <v>0</v>
      </c>
      <c r="AC20" s="638">
        <f t="shared" si="9"/>
        <v>0</v>
      </c>
      <c r="AD20" s="175">
        <f>IF(($B20*(1+$H$13)*(1+$N$13)*(1+$T$13)*(1+$Z$13)*(1+$AF$13))&gt;=($N$2*9),ROUND(($N$2*9)*AA20,0),ROUND(($AA20*$B20*(1+$H$13)*(1+$N$13)*(1+$T$13)*(1+$Z$13)*(1+$AF$13)),0))</f>
        <v>0</v>
      </c>
      <c r="AE20" s="175">
        <f>ROUND(AD20*$N$5,0)</f>
        <v>0</v>
      </c>
      <c r="AF20" s="176">
        <f t="shared" si="4"/>
        <v>0</v>
      </c>
      <c r="AG20" s="145">
        <f t="shared" si="5"/>
        <v>0</v>
      </c>
      <c r="AH20" s="206" t="s">
        <v>53</v>
      </c>
      <c r="AI20" s="4"/>
      <c r="AJ20" s="4"/>
      <c r="AK20" s="1"/>
      <c r="AL20" s="2"/>
    </row>
    <row r="21" spans="1:38" s="3" customFormat="1" x14ac:dyDescent="0.2">
      <c r="A21" s="113" t="s">
        <v>54</v>
      </c>
      <c r="B21" s="191">
        <f>B20/10*2</f>
        <v>0</v>
      </c>
      <c r="C21" s="132"/>
      <c r="D21" s="642">
        <f>2*C21</f>
        <v>0</v>
      </c>
      <c r="E21" s="638">
        <f t="shared" ref="E21:E28" si="10">B21*(1+$H$13)</f>
        <v>0</v>
      </c>
      <c r="F21" s="175">
        <f>IF(($B21*(1+$H$13))&gt;=($N$2*2),ROUND(($N$2*2)*C21,0),ROUND(($C21*$B21*(1+$H$13)),0))</f>
        <v>0</v>
      </c>
      <c r="G21" s="175">
        <f>ROUND(F21*$N$8,0)</f>
        <v>0</v>
      </c>
      <c r="H21" s="176">
        <f t="shared" si="0"/>
        <v>0</v>
      </c>
      <c r="I21" s="132"/>
      <c r="J21" s="642">
        <f>2*I21</f>
        <v>0</v>
      </c>
      <c r="K21" s="638">
        <f t="shared" si="6"/>
        <v>0</v>
      </c>
      <c r="L21" s="175">
        <f>IF(($B21*(1+$H$13)*(1+$N$13))&gt;=($N$2*2),ROUND(($N$2*2)*I21,0),ROUND(($I21*$B21*(1+$H$13)*(1+$N$13)),0))</f>
        <v>0</v>
      </c>
      <c r="M21" s="175">
        <f>ROUND(L21*$N$8,0)</f>
        <v>0</v>
      </c>
      <c r="N21" s="176">
        <f t="shared" si="1"/>
        <v>0</v>
      </c>
      <c r="O21" s="132"/>
      <c r="P21" s="642">
        <f>2*O21</f>
        <v>0</v>
      </c>
      <c r="Q21" s="638">
        <f t="shared" si="7"/>
        <v>0</v>
      </c>
      <c r="R21" s="175">
        <f>IF(($B21*(1+$H$13)*(1+$N$13)*(1+$T$13))&gt;=($N$2*2),ROUND(($N$2*2)*O21,0),ROUND(($O21*$B21*(1+$H$13)*(1+$N$13)*(1+$T$13)),0))</f>
        <v>0</v>
      </c>
      <c r="S21" s="175">
        <f>ROUND(R21*$N$8,0)</f>
        <v>0</v>
      </c>
      <c r="T21" s="176">
        <f t="shared" si="2"/>
        <v>0</v>
      </c>
      <c r="U21" s="132"/>
      <c r="V21" s="642">
        <f>2*U21</f>
        <v>0</v>
      </c>
      <c r="W21" s="638">
        <f t="shared" si="8"/>
        <v>0</v>
      </c>
      <c r="X21" s="175">
        <f>IF(($B21*(1+$H$13)*(1+$N$13)*(1+$T$13)*(1+$Z$13))&gt;=($N$2*2),ROUND(($N$2*2)*U21,0),ROUND(($U21*$B21*(1+$H$13)*(1+$N$13)*(1+$T$13)*(1+$Z$13)),0))</f>
        <v>0</v>
      </c>
      <c r="Y21" s="175">
        <f>ROUND(X21*$N$8,0)</f>
        <v>0</v>
      </c>
      <c r="Z21" s="176">
        <f t="shared" si="3"/>
        <v>0</v>
      </c>
      <c r="AA21" s="132"/>
      <c r="AB21" s="642">
        <f>2*AA21</f>
        <v>0</v>
      </c>
      <c r="AC21" s="638">
        <f t="shared" si="9"/>
        <v>0</v>
      </c>
      <c r="AD21" s="175">
        <f>IF(($B21*(1+$H$13)*(1+$N$13)*(1+$T$13)*(1+$Z$13)*(1+$AF$13))&gt;=($N$2*2),ROUND(($N$2*2)*AA21,0),ROUND(($AA21*$B21*(1+$H$13)*(1+$N$13)*(1+$T$13)*(1+$Z$13)*(1+$AF$13)),0))</f>
        <v>0</v>
      </c>
      <c r="AE21" s="175">
        <f>ROUND(AD21*$N$8,0)</f>
        <v>0</v>
      </c>
      <c r="AF21" s="176">
        <f t="shared" si="4"/>
        <v>0</v>
      </c>
      <c r="AG21" s="145">
        <f>ROUND(SUM(H21,N21,T21,Z21,AF21),0)</f>
        <v>0</v>
      </c>
      <c r="AH21" s="206" t="s">
        <v>54</v>
      </c>
      <c r="AI21" s="4"/>
      <c r="AJ21" s="4"/>
      <c r="AK21" s="1"/>
      <c r="AL21" s="2"/>
    </row>
    <row r="22" spans="1:38" s="3" customFormat="1" x14ac:dyDescent="0.2">
      <c r="A22" s="113" t="s">
        <v>55</v>
      </c>
      <c r="B22" s="133"/>
      <c r="C22" s="132"/>
      <c r="D22" s="642">
        <f>12*C22</f>
        <v>0</v>
      </c>
      <c r="E22" s="638">
        <f t="shared" si="10"/>
        <v>0</v>
      </c>
      <c r="F22" s="175">
        <f t="shared" ref="F22:F28" si="11">IF(($B22*(1+$H$13))&gt;=$N$3,ROUND($N$3*C22,0),ROUND(($C22*$B22*(1+$H$13)),0))</f>
        <v>0</v>
      </c>
      <c r="G22" s="175">
        <f>ROUND(F22*$N$5,0)</f>
        <v>0</v>
      </c>
      <c r="H22" s="176">
        <f t="shared" si="0"/>
        <v>0</v>
      </c>
      <c r="I22" s="132"/>
      <c r="J22" s="642">
        <f t="shared" ref="J22:J28" si="12">12*I22</f>
        <v>0</v>
      </c>
      <c r="K22" s="638">
        <f t="shared" si="6"/>
        <v>0</v>
      </c>
      <c r="L22" s="175">
        <f t="shared" ref="L22:L28" si="13">IF(($B22*(1+$H$13)*(1+$N$13))&gt;=($N$3),ROUND(($N$3)*I22,0),ROUND(($I22*$B22*(1+$H$13)*(1+$N$13)),0))</f>
        <v>0</v>
      </c>
      <c r="M22" s="175">
        <f>ROUND(L22*$N$5,0)</f>
        <v>0</v>
      </c>
      <c r="N22" s="176">
        <f t="shared" si="1"/>
        <v>0</v>
      </c>
      <c r="O22" s="132"/>
      <c r="P22" s="642">
        <f t="shared" ref="P22:P28" si="14">12*O22</f>
        <v>0</v>
      </c>
      <c r="Q22" s="638">
        <f t="shared" si="7"/>
        <v>0</v>
      </c>
      <c r="R22" s="175">
        <f t="shared" ref="R22:R28" si="15">IF(($B22*(1+$H$13)*(1+$N$13)*(1+$T$13))&gt;=($N$3),ROUND(($N$3)*O22,0),ROUND(($O22*$B22*(1+$H$13)*(1+$N$13)*(1+$T$13)),0))</f>
        <v>0</v>
      </c>
      <c r="S22" s="175">
        <f>ROUND(R22*$N$5,0)</f>
        <v>0</v>
      </c>
      <c r="T22" s="176">
        <f t="shared" si="2"/>
        <v>0</v>
      </c>
      <c r="U22" s="132"/>
      <c r="V22" s="642">
        <f t="shared" ref="V22:V28" si="16">12*U22</f>
        <v>0</v>
      </c>
      <c r="W22" s="638">
        <f t="shared" si="8"/>
        <v>0</v>
      </c>
      <c r="X22" s="175">
        <f t="shared" ref="X22:X28" si="17">IF(($B22*(1+$H$13)*(1+$N$13)*(1+$T$13)*(1+$Z$13))&gt;=($N$3),ROUND(($N$3)*U22,0),ROUND(($U22*$B22*(1+$H$13)*(1+$N$13)*(1+$T$13)*(1+$Z$13)),0))</f>
        <v>0</v>
      </c>
      <c r="Y22" s="175">
        <f>ROUND(X22*$N$5,0)</f>
        <v>0</v>
      </c>
      <c r="Z22" s="176">
        <f t="shared" si="3"/>
        <v>0</v>
      </c>
      <c r="AA22" s="132"/>
      <c r="AB22" s="642">
        <f t="shared" ref="AB22:AB28" si="18">12*AA22</f>
        <v>0</v>
      </c>
      <c r="AC22" s="638">
        <f t="shared" si="9"/>
        <v>0</v>
      </c>
      <c r="AD22" s="175">
        <f t="shared" ref="AD22:AD28" si="19">IF(($B22*(1+$H$13)*(1+$N$13)*(1+$T$13)*(1+$Z$13)*(1+$AF$13))&gt;=($N$3),ROUND(($N$3)*AA22,0),ROUND(($AA22*$B22*(1+$H$13)*(1+$N$13)*(1+$T$13)*(1+$Z$13)*(1+$AF$13)),0))</f>
        <v>0</v>
      </c>
      <c r="AE22" s="175">
        <f>ROUND(AD22*$N$5,0)</f>
        <v>0</v>
      </c>
      <c r="AF22" s="176">
        <f t="shared" si="4"/>
        <v>0</v>
      </c>
      <c r="AG22" s="145">
        <f t="shared" si="5"/>
        <v>0</v>
      </c>
      <c r="AH22" s="206" t="s">
        <v>55</v>
      </c>
      <c r="AI22" s="4"/>
      <c r="AJ22" s="4"/>
      <c r="AK22" s="1"/>
      <c r="AL22" s="2"/>
    </row>
    <row r="23" spans="1:38" s="3" customFormat="1" x14ac:dyDescent="0.2">
      <c r="A23" s="258" t="s">
        <v>200</v>
      </c>
      <c r="B23" s="674">
        <v>66560</v>
      </c>
      <c r="C23" s="132"/>
      <c r="D23" s="642">
        <f t="shared" ref="D23:D28" si="20">12*C23</f>
        <v>0</v>
      </c>
      <c r="E23" s="638">
        <f t="shared" si="10"/>
        <v>66560</v>
      </c>
      <c r="F23" s="175">
        <f t="shared" si="11"/>
        <v>0</v>
      </c>
      <c r="G23" s="175">
        <f>ROUND(F23*$N$5,0)</f>
        <v>0</v>
      </c>
      <c r="H23" s="176">
        <f t="shared" si="0"/>
        <v>0</v>
      </c>
      <c r="I23" s="132"/>
      <c r="J23" s="642">
        <f t="shared" si="12"/>
        <v>0</v>
      </c>
      <c r="K23" s="638">
        <f t="shared" si="6"/>
        <v>0</v>
      </c>
      <c r="L23" s="175">
        <f t="shared" si="13"/>
        <v>0</v>
      </c>
      <c r="M23" s="175">
        <f>ROUND(L23*$N$5,0)</f>
        <v>0</v>
      </c>
      <c r="N23" s="176">
        <f t="shared" si="1"/>
        <v>0</v>
      </c>
      <c r="O23" s="132"/>
      <c r="P23" s="642">
        <f t="shared" si="14"/>
        <v>0</v>
      </c>
      <c r="Q23" s="638">
        <f t="shared" si="7"/>
        <v>0</v>
      </c>
      <c r="R23" s="175">
        <f t="shared" si="15"/>
        <v>0</v>
      </c>
      <c r="S23" s="175">
        <f>ROUND(R23*$N$5,0)</f>
        <v>0</v>
      </c>
      <c r="T23" s="176">
        <f t="shared" si="2"/>
        <v>0</v>
      </c>
      <c r="U23" s="132"/>
      <c r="V23" s="642">
        <f t="shared" si="16"/>
        <v>0</v>
      </c>
      <c r="W23" s="638">
        <f t="shared" si="8"/>
        <v>0</v>
      </c>
      <c r="X23" s="175">
        <f t="shared" si="17"/>
        <v>0</v>
      </c>
      <c r="Y23" s="175">
        <f>ROUND(X23*$N$5,0)</f>
        <v>0</v>
      </c>
      <c r="Z23" s="176">
        <f t="shared" si="3"/>
        <v>0</v>
      </c>
      <c r="AA23" s="132"/>
      <c r="AB23" s="642">
        <f t="shared" si="18"/>
        <v>0</v>
      </c>
      <c r="AC23" s="638">
        <f t="shared" si="9"/>
        <v>0</v>
      </c>
      <c r="AD23" s="175">
        <f t="shared" si="19"/>
        <v>0</v>
      </c>
      <c r="AE23" s="175">
        <f>ROUND(AD23*$N$5,0)</f>
        <v>0</v>
      </c>
      <c r="AF23" s="176">
        <f t="shared" si="4"/>
        <v>0</v>
      </c>
      <c r="AG23" s="145">
        <f t="shared" si="5"/>
        <v>0</v>
      </c>
      <c r="AH23" s="206" t="s">
        <v>56</v>
      </c>
      <c r="AI23" s="4"/>
      <c r="AJ23" s="4"/>
      <c r="AK23" s="1"/>
      <c r="AL23" s="2"/>
    </row>
    <row r="24" spans="1:38" s="3" customFormat="1" x14ac:dyDescent="0.2">
      <c r="A24" s="258" t="s">
        <v>201</v>
      </c>
      <c r="B24" s="674"/>
      <c r="C24" s="132"/>
      <c r="D24" s="642">
        <f t="shared" si="20"/>
        <v>0</v>
      </c>
      <c r="E24" s="638">
        <f t="shared" si="10"/>
        <v>0</v>
      </c>
      <c r="F24" s="175">
        <f t="shared" si="11"/>
        <v>0</v>
      </c>
      <c r="G24" s="175">
        <f>ROUND(F24*$N$5,0)</f>
        <v>0</v>
      </c>
      <c r="H24" s="176">
        <f t="shared" si="0"/>
        <v>0</v>
      </c>
      <c r="I24" s="132"/>
      <c r="J24" s="642">
        <f t="shared" si="12"/>
        <v>0</v>
      </c>
      <c r="K24" s="638">
        <f t="shared" si="6"/>
        <v>0</v>
      </c>
      <c r="L24" s="175">
        <f t="shared" si="13"/>
        <v>0</v>
      </c>
      <c r="M24" s="175">
        <f>ROUND(L24*$N$5,0)</f>
        <v>0</v>
      </c>
      <c r="N24" s="176">
        <f t="shared" si="1"/>
        <v>0</v>
      </c>
      <c r="O24" s="132"/>
      <c r="P24" s="642">
        <f t="shared" si="14"/>
        <v>0</v>
      </c>
      <c r="Q24" s="638">
        <f t="shared" si="7"/>
        <v>0</v>
      </c>
      <c r="R24" s="175">
        <f t="shared" si="15"/>
        <v>0</v>
      </c>
      <c r="S24" s="175">
        <f>ROUND(R24*$N$5,0)</f>
        <v>0</v>
      </c>
      <c r="T24" s="176">
        <f t="shared" si="2"/>
        <v>0</v>
      </c>
      <c r="U24" s="132"/>
      <c r="V24" s="642">
        <f t="shared" si="16"/>
        <v>0</v>
      </c>
      <c r="W24" s="638">
        <f t="shared" si="8"/>
        <v>0</v>
      </c>
      <c r="X24" s="175">
        <f t="shared" si="17"/>
        <v>0</v>
      </c>
      <c r="Y24" s="175">
        <f>ROUND(X24*$N$5,0)</f>
        <v>0</v>
      </c>
      <c r="Z24" s="176">
        <f t="shared" si="3"/>
        <v>0</v>
      </c>
      <c r="AA24" s="132"/>
      <c r="AB24" s="642">
        <f t="shared" si="18"/>
        <v>0</v>
      </c>
      <c r="AC24" s="638">
        <f t="shared" si="9"/>
        <v>0</v>
      </c>
      <c r="AD24" s="175">
        <f t="shared" si="19"/>
        <v>0</v>
      </c>
      <c r="AE24" s="175">
        <f>ROUND(AD24*$N$5,0)</f>
        <v>0</v>
      </c>
      <c r="AF24" s="176">
        <f t="shared" si="4"/>
        <v>0</v>
      </c>
      <c r="AG24" s="145">
        <f t="shared" si="5"/>
        <v>0</v>
      </c>
      <c r="AH24" s="206" t="s">
        <v>56</v>
      </c>
      <c r="AI24" s="4"/>
      <c r="AJ24" s="4"/>
      <c r="AK24" s="1"/>
      <c r="AL24" s="2"/>
    </row>
    <row r="25" spans="1:38" s="3" customFormat="1" x14ac:dyDescent="0.2">
      <c r="A25" s="675" t="s">
        <v>57</v>
      </c>
      <c r="B25" s="674"/>
      <c r="C25" s="132"/>
      <c r="D25" s="642">
        <f>12*C25</f>
        <v>0</v>
      </c>
      <c r="E25" s="638">
        <f t="shared" si="10"/>
        <v>0</v>
      </c>
      <c r="F25" s="175">
        <f t="shared" si="11"/>
        <v>0</v>
      </c>
      <c r="G25" s="175">
        <f>IF(C25&gt;50%,ROUND((F25*$N$6),0),ROUND((F25*$N$8),0))</f>
        <v>0</v>
      </c>
      <c r="H25" s="176">
        <f>ROUND(SUM(F25:G25),0)</f>
        <v>0</v>
      </c>
      <c r="I25" s="132"/>
      <c r="J25" s="642">
        <f t="shared" si="12"/>
        <v>0</v>
      </c>
      <c r="K25" s="638">
        <f t="shared" si="6"/>
        <v>0</v>
      </c>
      <c r="L25" s="175">
        <f t="shared" si="13"/>
        <v>0</v>
      </c>
      <c r="M25" s="175">
        <f>IF(I25&gt;50%,ROUND((L25*$N$6),0),ROUND((L25*$N$8),0))</f>
        <v>0</v>
      </c>
      <c r="N25" s="176">
        <f>ROUND(SUM(L25:M25),0)</f>
        <v>0</v>
      </c>
      <c r="O25" s="132"/>
      <c r="P25" s="642">
        <f t="shared" si="14"/>
        <v>0</v>
      </c>
      <c r="Q25" s="638">
        <f t="shared" si="7"/>
        <v>0</v>
      </c>
      <c r="R25" s="175">
        <f t="shared" si="15"/>
        <v>0</v>
      </c>
      <c r="S25" s="175">
        <f>IF(O25&gt;50%,ROUND((R25*$N$6),0),ROUND((R25*$N$8),0))</f>
        <v>0</v>
      </c>
      <c r="T25" s="176">
        <f>ROUND(SUM(R25:S25),0)</f>
        <v>0</v>
      </c>
      <c r="U25" s="132"/>
      <c r="V25" s="642">
        <f t="shared" si="16"/>
        <v>0</v>
      </c>
      <c r="W25" s="638">
        <f t="shared" si="8"/>
        <v>0</v>
      </c>
      <c r="X25" s="175">
        <f t="shared" si="17"/>
        <v>0</v>
      </c>
      <c r="Y25" s="175">
        <f>IF(U25&gt;50%,ROUND((X25*$N$6),0),ROUND((X25*$N$8),0))</f>
        <v>0</v>
      </c>
      <c r="Z25" s="176">
        <f>ROUND(SUM(X25:Y25),0)</f>
        <v>0</v>
      </c>
      <c r="AA25" s="132"/>
      <c r="AB25" s="642">
        <f t="shared" si="18"/>
        <v>0</v>
      </c>
      <c r="AC25" s="638">
        <f t="shared" si="9"/>
        <v>0</v>
      </c>
      <c r="AD25" s="175">
        <f t="shared" si="19"/>
        <v>0</v>
      </c>
      <c r="AE25" s="175">
        <f>IF(AA25&gt;50%,ROUND((AD25*$N$6),0),ROUND((AD25*$N$8),0))</f>
        <v>0</v>
      </c>
      <c r="AF25" s="176">
        <f>ROUND(SUM(AD25:AE25),0)</f>
        <v>0</v>
      </c>
      <c r="AG25" s="145">
        <f>ROUND(SUM(H25,N25,T25,Z25,AF25),0)</f>
        <v>0</v>
      </c>
      <c r="AH25" s="206" t="s">
        <v>57</v>
      </c>
      <c r="AI25" s="4"/>
      <c r="AJ25" s="4"/>
      <c r="AK25" s="1"/>
      <c r="AL25" s="2"/>
    </row>
    <row r="26" spans="1:38" s="3" customFormat="1" x14ac:dyDescent="0.2">
      <c r="A26" s="258" t="s">
        <v>58</v>
      </c>
      <c r="B26" s="580">
        <f>35.77*2080</f>
        <v>74401.600000000006</v>
      </c>
      <c r="C26" s="132"/>
      <c r="D26" s="642">
        <f t="shared" si="20"/>
        <v>0</v>
      </c>
      <c r="E26" s="638">
        <f t="shared" si="10"/>
        <v>74401.600000000006</v>
      </c>
      <c r="F26" s="175">
        <f t="shared" si="11"/>
        <v>0</v>
      </c>
      <c r="G26" s="175">
        <f>ROUND(F26*$N$7,0)</f>
        <v>0</v>
      </c>
      <c r="H26" s="176">
        <f t="shared" si="0"/>
        <v>0</v>
      </c>
      <c r="I26" s="132"/>
      <c r="J26" s="642">
        <f t="shared" si="12"/>
        <v>0</v>
      </c>
      <c r="K26" s="638">
        <f t="shared" si="6"/>
        <v>0</v>
      </c>
      <c r="L26" s="175">
        <f t="shared" si="13"/>
        <v>0</v>
      </c>
      <c r="M26" s="175">
        <f>ROUND(L26*$N$7,0)</f>
        <v>0</v>
      </c>
      <c r="N26" s="176">
        <f t="shared" si="1"/>
        <v>0</v>
      </c>
      <c r="O26" s="132"/>
      <c r="P26" s="642">
        <f t="shared" si="14"/>
        <v>0</v>
      </c>
      <c r="Q26" s="638">
        <f t="shared" si="7"/>
        <v>0</v>
      </c>
      <c r="R26" s="175">
        <f t="shared" si="15"/>
        <v>0</v>
      </c>
      <c r="S26" s="175">
        <f>ROUND(R26*$N$7,0)</f>
        <v>0</v>
      </c>
      <c r="T26" s="176">
        <f t="shared" si="2"/>
        <v>0</v>
      </c>
      <c r="U26" s="132"/>
      <c r="V26" s="642">
        <f t="shared" si="16"/>
        <v>0</v>
      </c>
      <c r="W26" s="638">
        <f t="shared" si="8"/>
        <v>0</v>
      </c>
      <c r="X26" s="175">
        <f t="shared" si="17"/>
        <v>0</v>
      </c>
      <c r="Y26" s="175">
        <f>ROUND(X26*$N$7,0)</f>
        <v>0</v>
      </c>
      <c r="Z26" s="176">
        <f t="shared" si="3"/>
        <v>0</v>
      </c>
      <c r="AA26" s="132"/>
      <c r="AB26" s="642">
        <f t="shared" si="18"/>
        <v>0</v>
      </c>
      <c r="AC26" s="638">
        <f t="shared" si="9"/>
        <v>0</v>
      </c>
      <c r="AD26" s="175">
        <f t="shared" si="19"/>
        <v>0</v>
      </c>
      <c r="AE26" s="175">
        <f>ROUND(AD26*$N$7,0)</f>
        <v>0</v>
      </c>
      <c r="AF26" s="176">
        <f t="shared" si="4"/>
        <v>0</v>
      </c>
      <c r="AG26" s="145">
        <f t="shared" si="5"/>
        <v>0</v>
      </c>
      <c r="AH26" s="206" t="s">
        <v>59</v>
      </c>
      <c r="AI26" s="4"/>
      <c r="AJ26" s="4"/>
      <c r="AK26" s="1"/>
      <c r="AL26" s="2"/>
    </row>
    <row r="27" spans="1:38" s="3" customFormat="1" x14ac:dyDescent="0.2">
      <c r="A27" s="258" t="s">
        <v>60</v>
      </c>
      <c r="B27" s="580">
        <f>37.82*2080</f>
        <v>78665.600000000006</v>
      </c>
      <c r="C27" s="132"/>
      <c r="D27" s="642">
        <f t="shared" si="20"/>
        <v>0</v>
      </c>
      <c r="E27" s="638">
        <f t="shared" si="10"/>
        <v>78665.600000000006</v>
      </c>
      <c r="F27" s="175">
        <f t="shared" si="11"/>
        <v>0</v>
      </c>
      <c r="G27" s="175">
        <f>ROUND(F27*$N$7,0)</f>
        <v>0</v>
      </c>
      <c r="H27" s="176">
        <f t="shared" si="0"/>
        <v>0</v>
      </c>
      <c r="I27" s="132"/>
      <c r="J27" s="642">
        <f t="shared" si="12"/>
        <v>0</v>
      </c>
      <c r="K27" s="638">
        <f t="shared" si="6"/>
        <v>0</v>
      </c>
      <c r="L27" s="175">
        <f t="shared" si="13"/>
        <v>0</v>
      </c>
      <c r="M27" s="175">
        <f>ROUND(L27*$N$7,0)</f>
        <v>0</v>
      </c>
      <c r="N27" s="176">
        <f t="shared" si="1"/>
        <v>0</v>
      </c>
      <c r="O27" s="132"/>
      <c r="P27" s="642">
        <f t="shared" si="14"/>
        <v>0</v>
      </c>
      <c r="Q27" s="638">
        <f t="shared" si="7"/>
        <v>0</v>
      </c>
      <c r="R27" s="175">
        <f t="shared" si="15"/>
        <v>0</v>
      </c>
      <c r="S27" s="175">
        <f>ROUND(R27*$N$7,0)</f>
        <v>0</v>
      </c>
      <c r="T27" s="176">
        <f t="shared" si="2"/>
        <v>0</v>
      </c>
      <c r="U27" s="132"/>
      <c r="V27" s="642">
        <f t="shared" si="16"/>
        <v>0</v>
      </c>
      <c r="W27" s="638">
        <f t="shared" si="8"/>
        <v>0</v>
      </c>
      <c r="X27" s="175">
        <f t="shared" si="17"/>
        <v>0</v>
      </c>
      <c r="Y27" s="175">
        <f>ROUND(X27*$N$7,0)</f>
        <v>0</v>
      </c>
      <c r="Z27" s="176">
        <f t="shared" si="3"/>
        <v>0</v>
      </c>
      <c r="AA27" s="132"/>
      <c r="AB27" s="642">
        <f t="shared" si="18"/>
        <v>0</v>
      </c>
      <c r="AC27" s="638">
        <f t="shared" si="9"/>
        <v>0</v>
      </c>
      <c r="AD27" s="175">
        <f t="shared" si="19"/>
        <v>0</v>
      </c>
      <c r="AE27" s="175">
        <f>ROUND(AD27*$N$7,0)</f>
        <v>0</v>
      </c>
      <c r="AF27" s="176">
        <f t="shared" si="4"/>
        <v>0</v>
      </c>
      <c r="AG27" s="145">
        <f t="shared" si="5"/>
        <v>0</v>
      </c>
      <c r="AH27" s="206" t="s">
        <v>61</v>
      </c>
      <c r="AI27" s="4"/>
      <c r="AJ27" s="4"/>
      <c r="AK27" s="1"/>
      <c r="AL27" s="2"/>
    </row>
    <row r="28" spans="1:38" s="3" customFormat="1" ht="13.5" thickBot="1" x14ac:dyDescent="0.25">
      <c r="A28" s="259" t="s">
        <v>62</v>
      </c>
      <c r="B28" s="115">
        <f>16*2080</f>
        <v>33280</v>
      </c>
      <c r="C28" s="134"/>
      <c r="D28" s="643">
        <f t="shared" si="20"/>
        <v>0</v>
      </c>
      <c r="E28" s="658">
        <f t="shared" si="10"/>
        <v>33280</v>
      </c>
      <c r="F28" s="177">
        <f t="shared" si="11"/>
        <v>0</v>
      </c>
      <c r="G28" s="177">
        <f>ROUND(F28*$N$7,0)</f>
        <v>0</v>
      </c>
      <c r="H28" s="178">
        <f t="shared" si="0"/>
        <v>0</v>
      </c>
      <c r="I28" s="135"/>
      <c r="J28" s="643">
        <f t="shared" si="12"/>
        <v>0</v>
      </c>
      <c r="K28" s="638">
        <f t="shared" si="6"/>
        <v>0</v>
      </c>
      <c r="L28" s="177">
        <f t="shared" si="13"/>
        <v>0</v>
      </c>
      <c r="M28" s="177">
        <f>ROUND(L28*$N$7,0)</f>
        <v>0</v>
      </c>
      <c r="N28" s="178">
        <f t="shared" si="1"/>
        <v>0</v>
      </c>
      <c r="O28" s="135"/>
      <c r="P28" s="643">
        <f t="shared" si="14"/>
        <v>0</v>
      </c>
      <c r="Q28" s="638">
        <f t="shared" si="7"/>
        <v>0</v>
      </c>
      <c r="R28" s="177">
        <f t="shared" si="15"/>
        <v>0</v>
      </c>
      <c r="S28" s="177">
        <f>ROUND(R28*$N$7,0)</f>
        <v>0</v>
      </c>
      <c r="T28" s="178">
        <f t="shared" si="2"/>
        <v>0</v>
      </c>
      <c r="U28" s="135"/>
      <c r="V28" s="643">
        <f t="shared" si="16"/>
        <v>0</v>
      </c>
      <c r="W28" s="638">
        <f t="shared" si="8"/>
        <v>0</v>
      </c>
      <c r="X28" s="177">
        <f t="shared" si="17"/>
        <v>0</v>
      </c>
      <c r="Y28" s="177">
        <f>ROUND(X28*$N$7,0)</f>
        <v>0</v>
      </c>
      <c r="Z28" s="178">
        <f t="shared" si="3"/>
        <v>0</v>
      </c>
      <c r="AA28" s="135"/>
      <c r="AB28" s="643">
        <f t="shared" si="18"/>
        <v>0</v>
      </c>
      <c r="AC28" s="638">
        <f t="shared" si="9"/>
        <v>0</v>
      </c>
      <c r="AD28" s="177">
        <f t="shared" si="19"/>
        <v>0</v>
      </c>
      <c r="AE28" s="177">
        <f>ROUND(AD28*$N$7,0)</f>
        <v>0</v>
      </c>
      <c r="AF28" s="176">
        <f t="shared" si="4"/>
        <v>0</v>
      </c>
      <c r="AG28" s="145">
        <f t="shared" si="5"/>
        <v>0</v>
      </c>
      <c r="AH28" s="206" t="s">
        <v>63</v>
      </c>
      <c r="AI28" s="4"/>
      <c r="AJ28" s="4"/>
      <c r="AK28" s="1"/>
      <c r="AL28" s="2"/>
    </row>
    <row r="29" spans="1:38" s="3" customFormat="1" ht="13.5" thickBot="1" x14ac:dyDescent="0.25">
      <c r="A29" s="260" t="s">
        <v>64</v>
      </c>
      <c r="B29" s="261"/>
      <c r="C29" s="450"/>
      <c r="D29" s="657"/>
      <c r="E29" s="449"/>
      <c r="F29" s="177">
        <f>SUM(F18:F28)</f>
        <v>0</v>
      </c>
      <c r="G29" s="177">
        <f>SUM(G18:G28)</f>
        <v>0</v>
      </c>
      <c r="H29" s="180">
        <f>SUM(H18:H28)</f>
        <v>0</v>
      </c>
      <c r="I29" s="451"/>
      <c r="J29" s="656"/>
      <c r="K29" s="452"/>
      <c r="L29" s="177">
        <f>SUM(L18:L28)</f>
        <v>0</v>
      </c>
      <c r="M29" s="177">
        <f>SUM(M18:M28)</f>
        <v>0</v>
      </c>
      <c r="N29" s="180">
        <f>SUM(N18:N28)</f>
        <v>0</v>
      </c>
      <c r="O29" s="451"/>
      <c r="P29" s="656"/>
      <c r="Q29" s="452"/>
      <c r="R29" s="177">
        <f>SUM(R18:R28)</f>
        <v>0</v>
      </c>
      <c r="S29" s="177">
        <f>SUM(S18:S28)</f>
        <v>0</v>
      </c>
      <c r="T29" s="180">
        <f>SUM(T18:T28)</f>
        <v>0</v>
      </c>
      <c r="U29" s="451"/>
      <c r="V29" s="656"/>
      <c r="W29" s="452"/>
      <c r="X29" s="177">
        <f>SUM(X18:X28)</f>
        <v>0</v>
      </c>
      <c r="Y29" s="177">
        <f>SUM(Y18:Y28)</f>
        <v>0</v>
      </c>
      <c r="Z29" s="180">
        <f>SUM(Z18:Z28)</f>
        <v>0</v>
      </c>
      <c r="AA29" s="451"/>
      <c r="AB29" s="656"/>
      <c r="AC29" s="452"/>
      <c r="AD29" s="177">
        <f>SUM(AD18:AD28)</f>
        <v>0</v>
      </c>
      <c r="AE29" s="177">
        <f>SUM(AE18:AE28)</f>
        <v>0</v>
      </c>
      <c r="AF29" s="189">
        <f>SUM(AF18:AF28)</f>
        <v>0</v>
      </c>
      <c r="AG29" s="146">
        <f>SUM(AG18:AG28)</f>
        <v>0</v>
      </c>
      <c r="AH29" s="207" t="s">
        <v>64</v>
      </c>
    </row>
    <row r="30" spans="1:38" s="3" customFormat="1" ht="13.5" thickBot="1" x14ac:dyDescent="0.25">
      <c r="A30" s="260"/>
      <c r="B30" s="261"/>
      <c r="C30" s="262"/>
      <c r="D30" s="261"/>
      <c r="E30" s="261"/>
      <c r="F30" s="261"/>
      <c r="G30" s="261"/>
      <c r="H30" s="263"/>
      <c r="I30" s="263"/>
      <c r="J30" s="263"/>
      <c r="K30" s="263"/>
      <c r="L30" s="261"/>
      <c r="M30" s="261"/>
      <c r="N30" s="263"/>
      <c r="O30" s="263"/>
      <c r="P30" s="263"/>
      <c r="Q30" s="263"/>
      <c r="R30" s="261"/>
      <c r="S30" s="261"/>
      <c r="T30" s="263"/>
      <c r="U30" s="263"/>
      <c r="V30" s="263"/>
      <c r="W30" s="263"/>
      <c r="X30" s="261"/>
      <c r="Y30" s="261"/>
      <c r="Z30" s="263"/>
      <c r="AA30" s="263"/>
      <c r="AB30" s="263"/>
      <c r="AC30" s="263"/>
      <c r="AD30" s="261"/>
      <c r="AE30" s="261"/>
      <c r="AF30" s="263"/>
      <c r="AG30" s="147">
        <f>SUM(AD29,X29,R29,L29,F29)</f>
        <v>0</v>
      </c>
      <c r="AH30" s="207" t="s">
        <v>66</v>
      </c>
    </row>
    <row r="31" spans="1:38" s="3" customFormat="1" ht="13.5" thickBot="1" x14ac:dyDescent="0.25">
      <c r="A31" s="264"/>
      <c r="B31" s="265"/>
      <c r="C31" s="266"/>
      <c r="D31" s="265"/>
      <c r="E31" s="265"/>
      <c r="F31" s="265"/>
      <c r="G31" s="265"/>
      <c r="H31" s="267" t="s">
        <v>37</v>
      </c>
      <c r="I31" s="267"/>
      <c r="J31" s="267"/>
      <c r="K31" s="267"/>
      <c r="L31" s="268"/>
      <c r="M31" s="268"/>
      <c r="N31" s="267" t="s">
        <v>38</v>
      </c>
      <c r="O31" s="267"/>
      <c r="P31" s="267"/>
      <c r="Q31" s="267"/>
      <c r="R31" s="268"/>
      <c r="S31" s="268"/>
      <c r="T31" s="267" t="s">
        <v>39</v>
      </c>
      <c r="U31" s="267"/>
      <c r="V31" s="267"/>
      <c r="W31" s="267"/>
      <c r="X31" s="268"/>
      <c r="Y31" s="268"/>
      <c r="Z31" s="267" t="s">
        <v>40</v>
      </c>
      <c r="AA31" s="267"/>
      <c r="AB31" s="267"/>
      <c r="AC31" s="267"/>
      <c r="AD31" s="268"/>
      <c r="AE31" s="268"/>
      <c r="AF31" s="267" t="s">
        <v>41</v>
      </c>
      <c r="AG31" s="148">
        <f>AE29+Y29+S29+M29+G29</f>
        <v>0</v>
      </c>
      <c r="AH31" s="208" t="s">
        <v>67</v>
      </c>
    </row>
    <row r="32" spans="1:38" s="3" customFormat="1" ht="17.25" customHeight="1" thickBot="1" x14ac:dyDescent="0.25">
      <c r="A32" s="269" t="s">
        <v>68</v>
      </c>
      <c r="B32" s="270"/>
      <c r="C32" s="271"/>
      <c r="D32" s="272"/>
      <c r="E32" s="272"/>
      <c r="F32" s="272"/>
      <c r="G32" s="273"/>
      <c r="H32" s="136">
        <v>0</v>
      </c>
      <c r="I32" s="274"/>
      <c r="J32" s="272"/>
      <c r="K32" s="272"/>
      <c r="L32" s="272"/>
      <c r="M32" s="273"/>
      <c r="N32" s="136">
        <v>0</v>
      </c>
      <c r="O32" s="274"/>
      <c r="P32" s="272"/>
      <c r="Q32" s="272"/>
      <c r="R32" s="272"/>
      <c r="S32" s="273"/>
      <c r="T32" s="136">
        <v>0</v>
      </c>
      <c r="U32" s="274"/>
      <c r="V32" s="272"/>
      <c r="W32" s="272"/>
      <c r="X32" s="272"/>
      <c r="Y32" s="273"/>
      <c r="Z32" s="136">
        <v>0</v>
      </c>
      <c r="AA32" s="274"/>
      <c r="AB32" s="272"/>
      <c r="AC32" s="272"/>
      <c r="AD32" s="272"/>
      <c r="AE32" s="273"/>
      <c r="AF32" s="136">
        <v>0</v>
      </c>
      <c r="AG32" s="172">
        <f>AF32+Z32+T32+N32+H32</f>
        <v>0</v>
      </c>
      <c r="AH32" s="209" t="s">
        <v>69</v>
      </c>
    </row>
    <row r="33" spans="1:41" x14ac:dyDescent="0.2">
      <c r="A33" s="275" t="s">
        <v>70</v>
      </c>
      <c r="B33" s="261"/>
      <c r="C33" s="276"/>
      <c r="D33" s="276"/>
      <c r="E33" s="276"/>
      <c r="F33" s="276"/>
      <c r="G33" s="277"/>
      <c r="H33" s="117">
        <v>0</v>
      </c>
      <c r="I33" s="278"/>
      <c r="J33" s="279"/>
      <c r="K33" s="279"/>
      <c r="L33" s="279"/>
      <c r="M33" s="280"/>
      <c r="N33" s="117">
        <v>0</v>
      </c>
      <c r="O33" s="278"/>
      <c r="P33" s="279"/>
      <c r="Q33" s="279"/>
      <c r="R33" s="279"/>
      <c r="S33" s="280"/>
      <c r="T33" s="117">
        <v>0</v>
      </c>
      <c r="U33" s="278"/>
      <c r="V33" s="279"/>
      <c r="W33" s="279"/>
      <c r="X33" s="279"/>
      <c r="Y33" s="280"/>
      <c r="Z33" s="117">
        <v>0</v>
      </c>
      <c r="AA33" s="278"/>
      <c r="AB33" s="279"/>
      <c r="AC33" s="279"/>
      <c r="AD33" s="279"/>
      <c r="AE33" s="280"/>
      <c r="AF33" s="117">
        <v>0</v>
      </c>
      <c r="AG33" s="150">
        <f>SUM(AF33,Z33,T33,N33,H33)</f>
        <v>0</v>
      </c>
      <c r="AH33" s="200" t="s">
        <v>71</v>
      </c>
      <c r="AI33" s="3"/>
      <c r="AJ33" s="3"/>
      <c r="AK33" s="3"/>
      <c r="AL33" s="3"/>
    </row>
    <row r="34" spans="1:41" ht="13.5" thickBot="1" x14ac:dyDescent="0.25">
      <c r="A34" s="275" t="s">
        <v>72</v>
      </c>
      <c r="B34" s="261"/>
      <c r="C34" s="276"/>
      <c r="D34" s="276"/>
      <c r="E34" s="276"/>
      <c r="F34" s="276"/>
      <c r="G34" s="281"/>
      <c r="H34" s="125">
        <v>0</v>
      </c>
      <c r="I34" s="278"/>
      <c r="J34" s="279"/>
      <c r="K34" s="279"/>
      <c r="L34" s="279"/>
      <c r="M34" s="280"/>
      <c r="N34" s="125">
        <v>0</v>
      </c>
      <c r="O34" s="278"/>
      <c r="P34" s="279"/>
      <c r="Q34" s="279"/>
      <c r="R34" s="279"/>
      <c r="S34" s="280"/>
      <c r="T34" s="125">
        <v>0</v>
      </c>
      <c r="U34" s="278"/>
      <c r="V34" s="279"/>
      <c r="W34" s="279"/>
      <c r="X34" s="279"/>
      <c r="Y34" s="280"/>
      <c r="Z34" s="125">
        <v>0</v>
      </c>
      <c r="AA34" s="278"/>
      <c r="AB34" s="279"/>
      <c r="AC34" s="279"/>
      <c r="AD34" s="279"/>
      <c r="AE34" s="280"/>
      <c r="AF34" s="125">
        <v>0</v>
      </c>
      <c r="AG34" s="151">
        <f>SUM(AF34,Z34,T34,N34,H34)</f>
        <v>0</v>
      </c>
      <c r="AH34" s="200" t="s">
        <v>73</v>
      </c>
      <c r="AI34" s="3"/>
      <c r="AJ34" s="3"/>
      <c r="AK34" s="3"/>
      <c r="AL34" s="3"/>
    </row>
    <row r="35" spans="1:41" ht="13.5" thickBot="1" x14ac:dyDescent="0.25">
      <c r="A35" s="282" t="s">
        <v>74</v>
      </c>
      <c r="B35" s="265"/>
      <c r="C35" s="283"/>
      <c r="D35" s="265"/>
      <c r="E35" s="265"/>
      <c r="F35" s="265"/>
      <c r="G35" s="265"/>
      <c r="H35" s="181">
        <f>H33+H34</f>
        <v>0</v>
      </c>
      <c r="I35" s="284"/>
      <c r="J35" s="284"/>
      <c r="K35" s="284"/>
      <c r="L35" s="265"/>
      <c r="M35" s="265"/>
      <c r="N35" s="181">
        <f>N33+N34</f>
        <v>0</v>
      </c>
      <c r="O35" s="284"/>
      <c r="P35" s="284"/>
      <c r="Q35" s="284"/>
      <c r="R35" s="265"/>
      <c r="S35" s="265"/>
      <c r="T35" s="181">
        <f>T33+T34</f>
        <v>0</v>
      </c>
      <c r="U35" s="284"/>
      <c r="V35" s="284"/>
      <c r="W35" s="284"/>
      <c r="X35" s="265"/>
      <c r="Y35" s="265"/>
      <c r="Z35" s="181">
        <f>Z33+Z34</f>
        <v>0</v>
      </c>
      <c r="AA35" s="284"/>
      <c r="AB35" s="284"/>
      <c r="AC35" s="284"/>
      <c r="AD35" s="265"/>
      <c r="AE35" s="265"/>
      <c r="AF35" s="181">
        <f>AF33+AF34</f>
        <v>0</v>
      </c>
      <c r="AG35" s="152">
        <f>SUM(AG33:AG34)</f>
        <v>0</v>
      </c>
      <c r="AH35" s="210" t="s">
        <v>75</v>
      </c>
    </row>
    <row r="36" spans="1:41" outlineLevel="1" x14ac:dyDescent="0.2">
      <c r="A36" s="285" t="s">
        <v>76</v>
      </c>
      <c r="B36" s="173" t="s">
        <v>157</v>
      </c>
      <c r="C36" s="817" t="s">
        <v>78</v>
      </c>
      <c r="D36" s="840"/>
      <c r="E36" s="840"/>
      <c r="F36" s="840"/>
      <c r="G36" s="119"/>
      <c r="H36" s="263"/>
      <c r="I36" s="817" t="s">
        <v>158</v>
      </c>
      <c r="J36" s="840"/>
      <c r="K36" s="840"/>
      <c r="L36" s="840"/>
      <c r="M36" s="119"/>
      <c r="N36" s="263"/>
      <c r="O36" s="817" t="s">
        <v>159</v>
      </c>
      <c r="P36" s="840"/>
      <c r="Q36" s="840"/>
      <c r="R36" s="840"/>
      <c r="S36" s="119"/>
      <c r="T36" s="263"/>
      <c r="U36" s="817" t="s">
        <v>160</v>
      </c>
      <c r="V36" s="840"/>
      <c r="W36" s="840"/>
      <c r="X36" s="840"/>
      <c r="Y36" s="119"/>
      <c r="Z36" s="263"/>
      <c r="AA36" s="817" t="s">
        <v>161</v>
      </c>
      <c r="AB36" s="840"/>
      <c r="AC36" s="840"/>
      <c r="AD36" s="840"/>
      <c r="AE36" s="119"/>
      <c r="AF36" s="263"/>
      <c r="AG36" s="286"/>
      <c r="AH36" s="211" t="s">
        <v>138</v>
      </c>
    </row>
    <row r="37" spans="1:41" outlineLevel="1" x14ac:dyDescent="0.2">
      <c r="A37" s="258" t="s">
        <v>79</v>
      </c>
      <c r="B37" s="112"/>
      <c r="C37" s="224"/>
      <c r="D37" s="224"/>
      <c r="E37" s="224"/>
      <c r="F37" s="224"/>
      <c r="G37" s="261"/>
      <c r="H37" s="182">
        <f>B37*$G$36*(1+$H$13)</f>
        <v>0</v>
      </c>
      <c r="I37" s="287"/>
      <c r="J37" s="287"/>
      <c r="K37" s="287"/>
      <c r="L37" s="261"/>
      <c r="M37" s="261"/>
      <c r="N37" s="183">
        <f>$B37*$M$36*(1+$H$13)*(1+$N$13)</f>
        <v>0</v>
      </c>
      <c r="O37" s="288"/>
      <c r="P37" s="288"/>
      <c r="Q37" s="288"/>
      <c r="R37" s="261"/>
      <c r="S37" s="261"/>
      <c r="T37" s="183">
        <f>$B37*$S$36*(1+$H$13)*(1+$N$13)*(1+$T$13)</f>
        <v>0</v>
      </c>
      <c r="U37" s="288"/>
      <c r="V37" s="288"/>
      <c r="W37" s="288"/>
      <c r="X37" s="261"/>
      <c r="Y37" s="261"/>
      <c r="Z37" s="183">
        <f>$B37*$Y$36*(1+$H$13)*(1+$N$13)*(1+$T$13)*(1+$Z$13)</f>
        <v>0</v>
      </c>
      <c r="AA37" s="288"/>
      <c r="AB37" s="288"/>
      <c r="AC37" s="288"/>
      <c r="AD37" s="261"/>
      <c r="AE37" s="261"/>
      <c r="AF37" s="183">
        <f>$B37*$AE$36*(1+$H$13)*(1+$N$13)*(1+$T$13)*(1+$Z$13)*(1+$AF$13)</f>
        <v>0</v>
      </c>
      <c r="AG37" s="155">
        <f t="shared" ref="AG37:AG42" si="21">SUM(H37,N37,T37,Z37,AF37)</f>
        <v>0</v>
      </c>
      <c r="AH37" s="206" t="s">
        <v>80</v>
      </c>
    </row>
    <row r="38" spans="1:41" outlineLevel="1" x14ac:dyDescent="0.2">
      <c r="A38" s="258" t="s">
        <v>81</v>
      </c>
      <c r="B38" s="114"/>
      <c r="C38" s="224"/>
      <c r="D38" s="261"/>
      <c r="E38" s="261"/>
      <c r="F38" s="261"/>
      <c r="G38" s="261"/>
      <c r="H38" s="182">
        <f>B38*$G$36*(1+$H$13)</f>
        <v>0</v>
      </c>
      <c r="I38" s="287"/>
      <c r="J38" s="287"/>
      <c r="K38" s="287"/>
      <c r="L38" s="261"/>
      <c r="M38" s="261"/>
      <c r="N38" s="183">
        <f>$B38*$M$36*(1+$H$13)*(1+$N$13)</f>
        <v>0</v>
      </c>
      <c r="O38" s="288"/>
      <c r="P38" s="288"/>
      <c r="Q38" s="288"/>
      <c r="R38" s="261"/>
      <c r="S38" s="261"/>
      <c r="T38" s="183">
        <f>$B38*$S$36*(1+$H$13)*(1+$N$13)*(1+$T$13)</f>
        <v>0</v>
      </c>
      <c r="U38" s="288"/>
      <c r="V38" s="288"/>
      <c r="W38" s="288"/>
      <c r="X38" s="261"/>
      <c r="Y38" s="261"/>
      <c r="Z38" s="183">
        <f>$B38*$Y$36*(1+$H$13)*(1+$N$13)*(1+$T$13)*(1+$Z$13)</f>
        <v>0</v>
      </c>
      <c r="AA38" s="288"/>
      <c r="AB38" s="288"/>
      <c r="AC38" s="288"/>
      <c r="AD38" s="261"/>
      <c r="AE38" s="261"/>
      <c r="AF38" s="183">
        <f>$B38*$AE$36*(1+$H$13)*(1+$N$13)*(1+$T$13)*(1+$Z$13)*(1+$AF$13)</f>
        <v>0</v>
      </c>
      <c r="AG38" s="155">
        <f t="shared" si="21"/>
        <v>0</v>
      </c>
      <c r="AH38" s="206" t="s">
        <v>82</v>
      </c>
    </row>
    <row r="39" spans="1:41" outlineLevel="1" x14ac:dyDescent="0.2">
      <c r="A39" s="258" t="s">
        <v>83</v>
      </c>
      <c r="B39" s="114"/>
      <c r="C39" s="224"/>
      <c r="D39" s="261"/>
      <c r="E39" s="261"/>
      <c r="F39" s="261"/>
      <c r="G39" s="261"/>
      <c r="H39" s="182">
        <f>B39*$G$36*(1+$H$13)</f>
        <v>0</v>
      </c>
      <c r="I39" s="287"/>
      <c r="J39" s="287"/>
      <c r="K39" s="287"/>
      <c r="L39" s="261"/>
      <c r="M39" s="261"/>
      <c r="N39" s="183">
        <f>$B39*$M$36*(1+$H$13)*(1+$N$13)</f>
        <v>0</v>
      </c>
      <c r="O39" s="288"/>
      <c r="P39" s="288"/>
      <c r="Q39" s="288"/>
      <c r="R39" s="261"/>
      <c r="S39" s="261"/>
      <c r="T39" s="183">
        <f>$B39*$S$36*(1+$H$13)*(1+$N$13)*(1+$T$13)</f>
        <v>0</v>
      </c>
      <c r="U39" s="288"/>
      <c r="V39" s="288"/>
      <c r="W39" s="288"/>
      <c r="X39" s="261"/>
      <c r="Y39" s="261"/>
      <c r="Z39" s="183">
        <f>$B39*$Y$36*(1+$H$13)*(1+$N$13)*(1+$T$13)*(1+$Z$13)</f>
        <v>0</v>
      </c>
      <c r="AA39" s="288"/>
      <c r="AB39" s="288"/>
      <c r="AC39" s="288"/>
      <c r="AD39" s="261"/>
      <c r="AE39" s="261"/>
      <c r="AF39" s="183">
        <f>$B39*$AE$36*(1+$H$13)*(1+$N$13)*(1+$T$13)*(1+$Z$13)*(1+$AF$13)</f>
        <v>0</v>
      </c>
      <c r="AG39" s="155">
        <f t="shared" si="21"/>
        <v>0</v>
      </c>
      <c r="AH39" s="206" t="s">
        <v>84</v>
      </c>
    </row>
    <row r="40" spans="1:41" outlineLevel="1" x14ac:dyDescent="0.2">
      <c r="A40" s="258" t="s">
        <v>85</v>
      </c>
      <c r="B40" s="114"/>
      <c r="C40" s="224"/>
      <c r="D40" s="261"/>
      <c r="E40" s="261"/>
      <c r="F40" s="261"/>
      <c r="G40" s="261"/>
      <c r="H40" s="182">
        <f>B40*$G$36*(1+$H$13)</f>
        <v>0</v>
      </c>
      <c r="I40" s="287"/>
      <c r="J40" s="287"/>
      <c r="K40" s="287"/>
      <c r="L40" s="261"/>
      <c r="M40" s="261"/>
      <c r="N40" s="183">
        <f>$B40*$M$36*(1+$H$13)*(1+$N$13)</f>
        <v>0</v>
      </c>
      <c r="O40" s="288"/>
      <c r="P40" s="288"/>
      <c r="Q40" s="288"/>
      <c r="R40" s="261"/>
      <c r="S40" s="261"/>
      <c r="T40" s="183">
        <f>$B40*$S$36*(1+$H$13)*(1+$N$13)*(1+$T$13)</f>
        <v>0</v>
      </c>
      <c r="U40" s="288"/>
      <c r="V40" s="288"/>
      <c r="W40" s="288"/>
      <c r="X40" s="261"/>
      <c r="Y40" s="261"/>
      <c r="Z40" s="183">
        <f>$B40*$Y$36*(1+$H$13)*(1+$N$13)*(1+$T$13)*(1+$Z$13)</f>
        <v>0</v>
      </c>
      <c r="AA40" s="288"/>
      <c r="AB40" s="288"/>
      <c r="AC40" s="288"/>
      <c r="AD40" s="261"/>
      <c r="AE40" s="261"/>
      <c r="AF40" s="183">
        <f>$B40*$AE$36*(1+$H$13)*(1+$N$13)*(1+$T$13)*(1+$Z$13)*(1+$AF$13)</f>
        <v>0</v>
      </c>
      <c r="AG40" s="155">
        <f t="shared" si="21"/>
        <v>0</v>
      </c>
      <c r="AH40" s="206" t="s">
        <v>86</v>
      </c>
    </row>
    <row r="41" spans="1:41" ht="13.5" outlineLevel="1" thickBot="1" x14ac:dyDescent="0.25">
      <c r="A41" s="258" t="s">
        <v>87</v>
      </c>
      <c r="B41" s="120"/>
      <c r="C41" s="224"/>
      <c r="D41" s="261"/>
      <c r="E41" s="261"/>
      <c r="F41" s="261"/>
      <c r="G41" s="261"/>
      <c r="H41" s="184">
        <f>B41*$G$36*(1+$H$13)</f>
        <v>0</v>
      </c>
      <c r="I41" s="287"/>
      <c r="J41" s="287"/>
      <c r="K41" s="287"/>
      <c r="L41" s="261"/>
      <c r="M41" s="261"/>
      <c r="N41" s="192">
        <f>$B41*$M$36*(1+$H$13)*(1+$N$13)</f>
        <v>0</v>
      </c>
      <c r="O41" s="288"/>
      <c r="P41" s="288"/>
      <c r="Q41" s="288"/>
      <c r="R41" s="261"/>
      <c r="S41" s="261"/>
      <c r="T41" s="192">
        <f>$B41*$S$36*(1+$H$13)*(1+$N$13)*(1+$T$13)</f>
        <v>0</v>
      </c>
      <c r="U41" s="288"/>
      <c r="V41" s="288"/>
      <c r="W41" s="288"/>
      <c r="X41" s="261"/>
      <c r="Y41" s="261"/>
      <c r="Z41" s="192">
        <f>$B41*$Y$36*(1+$H$13)*(1+$N$13)*(1+$T$13)*(1+$Z$13)</f>
        <v>0</v>
      </c>
      <c r="AA41" s="288"/>
      <c r="AB41" s="288"/>
      <c r="AC41" s="288"/>
      <c r="AD41" s="261"/>
      <c r="AE41" s="261"/>
      <c r="AF41" s="192">
        <f>$B41*$AE$36*(1+$H$13)*(1+$N$13)*(1+$T$13)*(1+$Z$13)*(1+$AF$13)</f>
        <v>0</v>
      </c>
      <c r="AG41" s="156">
        <f t="shared" si="21"/>
        <v>0</v>
      </c>
      <c r="AH41" s="206" t="s">
        <v>88</v>
      </c>
    </row>
    <row r="42" spans="1:41" ht="13.5" outlineLevel="1" thickBot="1" x14ac:dyDescent="0.25">
      <c r="A42" s="282" t="s">
        <v>89</v>
      </c>
      <c r="B42" s="289"/>
      <c r="C42" s="283"/>
      <c r="D42" s="265"/>
      <c r="E42" s="265"/>
      <c r="F42" s="265"/>
      <c r="G42" s="265"/>
      <c r="H42" s="185">
        <f>SUM(H37:H41)</f>
        <v>0</v>
      </c>
      <c r="I42" s="265"/>
      <c r="J42" s="265"/>
      <c r="K42" s="265"/>
      <c r="L42" s="265"/>
      <c r="M42" s="265"/>
      <c r="N42" s="185">
        <f>SUM(N37:N41)</f>
        <v>0</v>
      </c>
      <c r="O42" s="265"/>
      <c r="P42" s="265"/>
      <c r="Q42" s="265"/>
      <c r="R42" s="265"/>
      <c r="S42" s="265"/>
      <c r="T42" s="185">
        <f>SUM(T37:T41)</f>
        <v>0</v>
      </c>
      <c r="U42" s="265"/>
      <c r="V42" s="265"/>
      <c r="W42" s="265"/>
      <c r="X42" s="265"/>
      <c r="Y42" s="265"/>
      <c r="Z42" s="185">
        <f>SUM(Z37:Z41)</f>
        <v>0</v>
      </c>
      <c r="AA42" s="265"/>
      <c r="AB42" s="265"/>
      <c r="AC42" s="265"/>
      <c r="AD42" s="265"/>
      <c r="AE42" s="265"/>
      <c r="AF42" s="185">
        <f>SUM(AF37:AF41)</f>
        <v>0</v>
      </c>
      <c r="AG42" s="152">
        <f t="shared" si="21"/>
        <v>0</v>
      </c>
      <c r="AH42" s="210" t="s">
        <v>90</v>
      </c>
    </row>
    <row r="43" spans="1:41" x14ac:dyDescent="0.2">
      <c r="A43" s="285" t="s">
        <v>91</v>
      </c>
      <c r="B43" s="841" t="s">
        <v>92</v>
      </c>
      <c r="C43" s="842"/>
      <c r="D43" s="842"/>
      <c r="E43" s="842"/>
      <c r="F43" s="842"/>
      <c r="G43" s="842"/>
      <c r="H43" s="257" t="s">
        <v>37</v>
      </c>
      <c r="I43" s="290"/>
      <c r="J43" s="291"/>
      <c r="K43" s="291"/>
      <c r="L43" s="291"/>
      <c r="M43" s="291"/>
      <c r="N43" s="291" t="s">
        <v>38</v>
      </c>
      <c r="O43" s="290"/>
      <c r="P43" s="291"/>
      <c r="Q43" s="291"/>
      <c r="R43" s="291"/>
      <c r="S43" s="291"/>
      <c r="T43" s="291" t="s">
        <v>39</v>
      </c>
      <c r="U43" s="290"/>
      <c r="V43" s="291"/>
      <c r="W43" s="291"/>
      <c r="X43" s="291"/>
      <c r="Y43" s="291"/>
      <c r="Z43" s="291" t="s">
        <v>40</v>
      </c>
      <c r="AA43" s="290"/>
      <c r="AB43" s="291"/>
      <c r="AC43" s="291"/>
      <c r="AD43" s="291"/>
      <c r="AE43" s="291"/>
      <c r="AF43" s="291" t="s">
        <v>41</v>
      </c>
      <c r="AG43" s="292"/>
      <c r="AH43" s="211" t="s">
        <v>91</v>
      </c>
    </row>
    <row r="44" spans="1:41" ht="13.5" thickBot="1" x14ac:dyDescent="0.25">
      <c r="A44" s="258" t="s">
        <v>93</v>
      </c>
      <c r="B44" s="114"/>
      <c r="C44" s="224"/>
      <c r="D44" s="261"/>
      <c r="E44" s="261"/>
      <c r="F44" s="261"/>
      <c r="G44" s="261"/>
      <c r="H44" s="121">
        <f>$B44*(1+$H$13)</f>
        <v>0</v>
      </c>
      <c r="I44" s="293"/>
      <c r="J44" s="261"/>
      <c r="K44" s="261"/>
      <c r="L44" s="261"/>
      <c r="M44" s="261"/>
      <c r="N44" s="121">
        <f>$B44*(1+$H$13)*(1+$N$13)</f>
        <v>0</v>
      </c>
      <c r="O44" s="261"/>
      <c r="P44" s="261"/>
      <c r="Q44" s="261"/>
      <c r="R44" s="261"/>
      <c r="S44" s="261"/>
      <c r="T44" s="121">
        <f>$B44*(1+$H$13)*(1+$N$13)*(1+$T$13)</f>
        <v>0</v>
      </c>
      <c r="U44" s="261"/>
      <c r="V44" s="261"/>
      <c r="W44" s="261"/>
      <c r="X44" s="261"/>
      <c r="Y44" s="261"/>
      <c r="Z44" s="121">
        <f>$B44*(1+$H$13)*(1+$N$13)*(1+$T$13)*(1+$Z$13)</f>
        <v>0</v>
      </c>
      <c r="AA44" s="261"/>
      <c r="AB44" s="261"/>
      <c r="AC44" s="261"/>
      <c r="AD44" s="261"/>
      <c r="AE44" s="261"/>
      <c r="AF44" s="121">
        <f>$B44*(1+$H$13)*(1+$N$13)*(1+$T$13)*(1+$Z$13)*(1+$AF$13)</f>
        <v>0</v>
      </c>
      <c r="AG44" s="151">
        <f t="shared" ref="AG44:AG53" si="22">SUM(AF44,Z44,T44,N44,H44)</f>
        <v>0</v>
      </c>
      <c r="AH44" s="577" t="s">
        <v>93</v>
      </c>
    </row>
    <row r="45" spans="1:41" x14ac:dyDescent="0.2">
      <c r="A45" s="258" t="s">
        <v>94</v>
      </c>
      <c r="B45" s="114"/>
      <c r="C45" s="224"/>
      <c r="D45" s="261"/>
      <c r="E45" s="261"/>
      <c r="F45" s="261"/>
      <c r="G45" s="261"/>
      <c r="H45" s="121">
        <f t="shared" ref="H45:H53" si="23">$B45*(1+$H$13)</f>
        <v>0</v>
      </c>
      <c r="I45" s="293"/>
      <c r="J45" s="261"/>
      <c r="K45" s="261"/>
      <c r="L45" s="261"/>
      <c r="M45" s="261"/>
      <c r="N45" s="121">
        <f t="shared" ref="N45:N53" si="24">$B45*(1+$H$13)*(1+$N$13)</f>
        <v>0</v>
      </c>
      <c r="O45" s="261"/>
      <c r="P45" s="261"/>
      <c r="Q45" s="261"/>
      <c r="R45" s="261"/>
      <c r="S45" s="261"/>
      <c r="T45" s="121">
        <f t="shared" ref="T45:T53" si="25">$B45*(1+$H$13)*(1+$N$13)*(1+$T$13)</f>
        <v>0</v>
      </c>
      <c r="U45" s="261"/>
      <c r="V45" s="261"/>
      <c r="W45" s="261"/>
      <c r="X45" s="261"/>
      <c r="Y45" s="261"/>
      <c r="Z45" s="121">
        <f t="shared" ref="Z45:Z53" si="26">$B45*(1+$H$13)*(1+$N$13)*(1+$T$13)*(1+$Z$13)</f>
        <v>0</v>
      </c>
      <c r="AA45" s="261"/>
      <c r="AB45" s="261"/>
      <c r="AC45" s="261"/>
      <c r="AD45" s="261"/>
      <c r="AE45" s="261"/>
      <c r="AF45" s="121">
        <f t="shared" ref="AF45:AF53" si="27">$B45*(1+$H$13)*(1+$N$13)*(1+$T$13)*(1+$Z$13)*(1+$AF$13)</f>
        <v>0</v>
      </c>
      <c r="AG45" s="157">
        <f t="shared" si="22"/>
        <v>0</v>
      </c>
      <c r="AH45" s="577" t="s">
        <v>94</v>
      </c>
      <c r="AJ45" s="582" t="s">
        <v>178</v>
      </c>
      <c r="AK45" s="583"/>
      <c r="AL45" s="584"/>
      <c r="AM45" s="585"/>
      <c r="AN45" s="586"/>
      <c r="AO45" s="587"/>
    </row>
    <row r="46" spans="1:41" x14ac:dyDescent="0.2">
      <c r="A46" s="258" t="s">
        <v>95</v>
      </c>
      <c r="B46" s="114"/>
      <c r="C46" s="224"/>
      <c r="D46" s="261"/>
      <c r="E46" s="261"/>
      <c r="F46" s="261"/>
      <c r="G46" s="261"/>
      <c r="H46" s="121">
        <f t="shared" si="23"/>
        <v>0</v>
      </c>
      <c r="I46" s="293"/>
      <c r="J46" s="261"/>
      <c r="K46" s="261"/>
      <c r="L46" s="261"/>
      <c r="M46" s="261"/>
      <c r="N46" s="121">
        <f t="shared" si="24"/>
        <v>0</v>
      </c>
      <c r="O46" s="261"/>
      <c r="P46" s="261"/>
      <c r="Q46" s="261"/>
      <c r="R46" s="261"/>
      <c r="S46" s="261"/>
      <c r="T46" s="121">
        <f t="shared" si="25"/>
        <v>0</v>
      </c>
      <c r="U46" s="261"/>
      <c r="V46" s="261"/>
      <c r="W46" s="261"/>
      <c r="X46" s="261"/>
      <c r="Y46" s="261"/>
      <c r="Z46" s="121">
        <f t="shared" si="26"/>
        <v>0</v>
      </c>
      <c r="AA46" s="261"/>
      <c r="AB46" s="261"/>
      <c r="AC46" s="261"/>
      <c r="AD46" s="261"/>
      <c r="AE46" s="261"/>
      <c r="AF46" s="121">
        <f t="shared" si="27"/>
        <v>0</v>
      </c>
      <c r="AG46" s="157">
        <f t="shared" si="22"/>
        <v>0</v>
      </c>
      <c r="AH46" s="577" t="s">
        <v>95</v>
      </c>
      <c r="AJ46" s="588">
        <v>0</v>
      </c>
      <c r="AK46" s="1" t="s">
        <v>179</v>
      </c>
      <c r="AO46" s="589"/>
    </row>
    <row r="47" spans="1:41" x14ac:dyDescent="0.2">
      <c r="A47" s="258" t="s">
        <v>171</v>
      </c>
      <c r="B47" s="103"/>
      <c r="C47" s="224"/>
      <c r="D47" s="224"/>
      <c r="E47" s="224"/>
      <c r="F47" s="224"/>
      <c r="G47" s="261"/>
      <c r="H47" s="121">
        <f t="shared" si="23"/>
        <v>0</v>
      </c>
      <c r="I47" s="293"/>
      <c r="J47" s="261"/>
      <c r="K47" s="261"/>
      <c r="L47" s="263"/>
      <c r="M47" s="261"/>
      <c r="N47" s="121">
        <f t="shared" si="24"/>
        <v>0</v>
      </c>
      <c r="O47" s="261"/>
      <c r="P47" s="261"/>
      <c r="Q47" s="261"/>
      <c r="R47" s="263"/>
      <c r="S47" s="261"/>
      <c r="T47" s="121">
        <f t="shared" si="25"/>
        <v>0</v>
      </c>
      <c r="U47" s="261"/>
      <c r="V47" s="261"/>
      <c r="W47" s="261"/>
      <c r="X47" s="263"/>
      <c r="Y47" s="261"/>
      <c r="Z47" s="121">
        <f t="shared" si="26"/>
        <v>0</v>
      </c>
      <c r="AA47" s="261"/>
      <c r="AB47" s="261"/>
      <c r="AC47" s="261"/>
      <c r="AD47" s="263"/>
      <c r="AE47" s="261"/>
      <c r="AF47" s="121">
        <f t="shared" si="27"/>
        <v>0</v>
      </c>
      <c r="AG47" s="157">
        <f t="shared" si="22"/>
        <v>0</v>
      </c>
      <c r="AH47" s="577" t="s">
        <v>171</v>
      </c>
      <c r="AJ47" s="588">
        <v>0</v>
      </c>
      <c r="AK47" s="1" t="s">
        <v>180</v>
      </c>
      <c r="AO47" s="589"/>
    </row>
    <row r="48" spans="1:41" x14ac:dyDescent="0.2">
      <c r="A48" s="258" t="s">
        <v>172</v>
      </c>
      <c r="B48" s="103"/>
      <c r="C48" s="224"/>
      <c r="D48" s="224"/>
      <c r="E48" s="224"/>
      <c r="F48" s="224"/>
      <c r="G48" s="261"/>
      <c r="H48" s="121">
        <f t="shared" si="23"/>
        <v>0</v>
      </c>
      <c r="I48" s="293"/>
      <c r="J48" s="261"/>
      <c r="K48" s="261"/>
      <c r="L48" s="263"/>
      <c r="M48" s="261"/>
      <c r="N48" s="121">
        <f t="shared" si="24"/>
        <v>0</v>
      </c>
      <c r="O48" s="261"/>
      <c r="P48" s="261"/>
      <c r="Q48" s="261"/>
      <c r="R48" s="263"/>
      <c r="S48" s="261"/>
      <c r="T48" s="121">
        <f t="shared" si="25"/>
        <v>0</v>
      </c>
      <c r="U48" s="261"/>
      <c r="V48" s="261"/>
      <c r="W48" s="261"/>
      <c r="X48" s="263"/>
      <c r="Y48" s="261"/>
      <c r="Z48" s="121">
        <f t="shared" si="26"/>
        <v>0</v>
      </c>
      <c r="AA48" s="261"/>
      <c r="AB48" s="261"/>
      <c r="AC48" s="261"/>
      <c r="AD48" s="263"/>
      <c r="AE48" s="261"/>
      <c r="AF48" s="121">
        <f t="shared" si="27"/>
        <v>0</v>
      </c>
      <c r="AG48" s="157">
        <f t="shared" ref="AG48" si="28">SUM(AF48,Z48,T48,N48,H48)</f>
        <v>0</v>
      </c>
      <c r="AH48" s="577" t="s">
        <v>172</v>
      </c>
      <c r="AJ48" s="588">
        <v>0</v>
      </c>
      <c r="AK48" s="1" t="s">
        <v>181</v>
      </c>
      <c r="AO48" s="589"/>
    </row>
    <row r="49" spans="1:93" x14ac:dyDescent="0.2">
      <c r="A49" s="258" t="s">
        <v>96</v>
      </c>
      <c r="B49" s="103"/>
      <c r="C49" s="224"/>
      <c r="D49" s="224"/>
      <c r="E49" s="224"/>
      <c r="F49" s="224"/>
      <c r="G49" s="261"/>
      <c r="H49" s="121">
        <f t="shared" si="23"/>
        <v>0</v>
      </c>
      <c r="I49" s="293"/>
      <c r="J49" s="261"/>
      <c r="K49" s="261"/>
      <c r="L49" s="263"/>
      <c r="M49" s="261"/>
      <c r="N49" s="121">
        <f t="shared" si="24"/>
        <v>0</v>
      </c>
      <c r="O49" s="261"/>
      <c r="P49" s="261"/>
      <c r="Q49" s="261"/>
      <c r="R49" s="263"/>
      <c r="S49" s="261"/>
      <c r="T49" s="121">
        <f t="shared" si="25"/>
        <v>0</v>
      </c>
      <c r="U49" s="261"/>
      <c r="V49" s="261"/>
      <c r="W49" s="261"/>
      <c r="X49" s="263"/>
      <c r="Y49" s="261"/>
      <c r="Z49" s="121">
        <f t="shared" si="26"/>
        <v>0</v>
      </c>
      <c r="AA49" s="261"/>
      <c r="AB49" s="261"/>
      <c r="AC49" s="261"/>
      <c r="AD49" s="263"/>
      <c r="AE49" s="261"/>
      <c r="AF49" s="121">
        <f t="shared" si="27"/>
        <v>0</v>
      </c>
      <c r="AG49" s="157">
        <f t="shared" si="22"/>
        <v>0</v>
      </c>
      <c r="AH49" s="577" t="s">
        <v>96</v>
      </c>
      <c r="AJ49" s="588">
        <v>0</v>
      </c>
      <c r="AK49" s="1" t="s">
        <v>182</v>
      </c>
      <c r="AO49" s="589"/>
    </row>
    <row r="50" spans="1:93" x14ac:dyDescent="0.2">
      <c r="A50" s="258" t="s">
        <v>173</v>
      </c>
      <c r="B50" s="103"/>
      <c r="C50" s="224"/>
      <c r="D50" s="224"/>
      <c r="E50" s="224"/>
      <c r="F50" s="224"/>
      <c r="G50" s="261"/>
      <c r="H50" s="121">
        <f t="shared" si="23"/>
        <v>0</v>
      </c>
      <c r="I50" s="293"/>
      <c r="J50" s="261"/>
      <c r="K50" s="261"/>
      <c r="L50" s="263"/>
      <c r="M50" s="261"/>
      <c r="N50" s="121">
        <f t="shared" si="24"/>
        <v>0</v>
      </c>
      <c r="O50" s="261"/>
      <c r="P50" s="261"/>
      <c r="Q50" s="261"/>
      <c r="R50" s="263"/>
      <c r="S50" s="261"/>
      <c r="T50" s="121">
        <f t="shared" si="25"/>
        <v>0</v>
      </c>
      <c r="U50" s="261"/>
      <c r="V50" s="261"/>
      <c r="W50" s="261"/>
      <c r="X50" s="263"/>
      <c r="Y50" s="261"/>
      <c r="Z50" s="121">
        <f t="shared" si="26"/>
        <v>0</v>
      </c>
      <c r="AA50" s="261"/>
      <c r="AB50" s="261"/>
      <c r="AC50" s="261"/>
      <c r="AD50" s="263"/>
      <c r="AE50" s="261"/>
      <c r="AF50" s="121">
        <f t="shared" si="27"/>
        <v>0</v>
      </c>
      <c r="AG50" s="157">
        <f t="shared" ref="AG50:AG51" si="29">SUM(AF50,Z50,T50,N50,H50)</f>
        <v>0</v>
      </c>
      <c r="AH50" s="577" t="s">
        <v>173</v>
      </c>
      <c r="AI50" s="578"/>
      <c r="AJ50" s="588">
        <v>0</v>
      </c>
      <c r="AK50" s="1" t="s">
        <v>187</v>
      </c>
      <c r="AO50" s="589"/>
    </row>
    <row r="51" spans="1:93" x14ac:dyDescent="0.2">
      <c r="A51" s="258" t="s">
        <v>177</v>
      </c>
      <c r="B51" s="103"/>
      <c r="C51" s="224"/>
      <c r="D51" s="224"/>
      <c r="E51" s="224"/>
      <c r="F51" s="224"/>
      <c r="G51" s="261"/>
      <c r="H51" s="121">
        <f t="shared" si="23"/>
        <v>0</v>
      </c>
      <c r="I51" s="293"/>
      <c r="J51" s="261"/>
      <c r="K51" s="261"/>
      <c r="L51" s="263"/>
      <c r="M51" s="261"/>
      <c r="N51" s="121">
        <f t="shared" si="24"/>
        <v>0</v>
      </c>
      <c r="O51" s="261"/>
      <c r="P51" s="261"/>
      <c r="Q51" s="261"/>
      <c r="R51" s="263"/>
      <c r="S51" s="261"/>
      <c r="T51" s="121">
        <f t="shared" si="25"/>
        <v>0</v>
      </c>
      <c r="U51" s="261"/>
      <c r="V51" s="261"/>
      <c r="W51" s="261"/>
      <c r="X51" s="263"/>
      <c r="Y51" s="261"/>
      <c r="Z51" s="121">
        <f t="shared" si="26"/>
        <v>0</v>
      </c>
      <c r="AA51" s="261"/>
      <c r="AB51" s="261"/>
      <c r="AC51" s="261"/>
      <c r="AD51" s="263"/>
      <c r="AE51" s="261"/>
      <c r="AF51" s="121">
        <f t="shared" si="27"/>
        <v>0</v>
      </c>
      <c r="AG51" s="157">
        <f t="shared" si="29"/>
        <v>0</v>
      </c>
      <c r="AH51" s="577" t="s">
        <v>177</v>
      </c>
      <c r="AJ51" s="590">
        <f>AG51</f>
        <v>0</v>
      </c>
      <c r="AK51" s="1" t="s">
        <v>183</v>
      </c>
      <c r="AO51" s="589"/>
    </row>
    <row r="52" spans="1:93" x14ac:dyDescent="0.2">
      <c r="A52" s="258" t="s">
        <v>97</v>
      </c>
      <c r="B52" s="103"/>
      <c r="C52" s="224"/>
      <c r="D52" s="224"/>
      <c r="E52" s="224"/>
      <c r="F52" s="224"/>
      <c r="G52" s="261"/>
      <c r="H52" s="121">
        <f t="shared" si="23"/>
        <v>0</v>
      </c>
      <c r="I52" s="293"/>
      <c r="J52" s="261"/>
      <c r="K52" s="261"/>
      <c r="L52" s="263"/>
      <c r="M52" s="261"/>
      <c r="N52" s="121">
        <f t="shared" si="24"/>
        <v>0</v>
      </c>
      <c r="O52" s="261"/>
      <c r="P52" s="261"/>
      <c r="Q52" s="261"/>
      <c r="R52" s="263"/>
      <c r="S52" s="261"/>
      <c r="T52" s="121">
        <f t="shared" si="25"/>
        <v>0</v>
      </c>
      <c r="U52" s="261"/>
      <c r="V52" s="261"/>
      <c r="W52" s="261"/>
      <c r="X52" s="263"/>
      <c r="Y52" s="261"/>
      <c r="Z52" s="121">
        <f t="shared" si="26"/>
        <v>0</v>
      </c>
      <c r="AA52" s="261"/>
      <c r="AB52" s="261"/>
      <c r="AC52" s="261"/>
      <c r="AD52" s="263"/>
      <c r="AE52" s="261"/>
      <c r="AF52" s="121">
        <f t="shared" si="27"/>
        <v>0</v>
      </c>
      <c r="AG52" s="157">
        <f t="shared" si="22"/>
        <v>0</v>
      </c>
      <c r="AH52" s="577" t="s">
        <v>97</v>
      </c>
      <c r="AJ52" s="590">
        <f>SUM(AJ46:AJ51)</f>
        <v>0</v>
      </c>
      <c r="AK52" s="1" t="s">
        <v>184</v>
      </c>
      <c r="AO52" s="589"/>
    </row>
    <row r="53" spans="1:93" ht="13.5" thickBot="1" x14ac:dyDescent="0.25">
      <c r="A53" s="258" t="s">
        <v>97</v>
      </c>
      <c r="B53" s="103"/>
      <c r="C53" s="224"/>
      <c r="D53" s="224"/>
      <c r="E53" s="224"/>
      <c r="F53" s="224"/>
      <c r="G53" s="261"/>
      <c r="H53" s="121">
        <f t="shared" si="23"/>
        <v>0</v>
      </c>
      <c r="I53" s="293"/>
      <c r="J53" s="261"/>
      <c r="K53" s="261"/>
      <c r="L53" s="263"/>
      <c r="M53" s="261"/>
      <c r="N53" s="121">
        <f t="shared" si="24"/>
        <v>0</v>
      </c>
      <c r="O53" s="261"/>
      <c r="P53" s="261"/>
      <c r="Q53" s="261"/>
      <c r="R53" s="263"/>
      <c r="S53" s="261"/>
      <c r="T53" s="121">
        <f t="shared" si="25"/>
        <v>0</v>
      </c>
      <c r="U53" s="261"/>
      <c r="V53" s="261"/>
      <c r="W53" s="261"/>
      <c r="X53" s="263"/>
      <c r="Y53" s="261"/>
      <c r="Z53" s="121">
        <f t="shared" si="26"/>
        <v>0</v>
      </c>
      <c r="AA53" s="261"/>
      <c r="AB53" s="261"/>
      <c r="AC53" s="261"/>
      <c r="AD53" s="263"/>
      <c r="AE53" s="261"/>
      <c r="AF53" s="121">
        <f t="shared" si="27"/>
        <v>0</v>
      </c>
      <c r="AG53" s="157">
        <f t="shared" si="22"/>
        <v>0</v>
      </c>
      <c r="AH53" s="577" t="s">
        <v>97</v>
      </c>
      <c r="AJ53" s="595" t="e">
        <f>AJ52/AG78</f>
        <v>#DIV/0!</v>
      </c>
      <c r="AK53" s="591" t="s">
        <v>185</v>
      </c>
      <c r="AL53" s="592"/>
      <c r="AM53" s="593"/>
      <c r="AN53" s="591"/>
      <c r="AO53" s="594"/>
    </row>
    <row r="54" spans="1:93" ht="13.5" thickBot="1" x14ac:dyDescent="0.25">
      <c r="A54" s="282" t="s">
        <v>98</v>
      </c>
      <c r="B54" s="266"/>
      <c r="C54" s="266"/>
      <c r="D54" s="266"/>
      <c r="E54" s="266"/>
      <c r="F54" s="266"/>
      <c r="G54" s="265"/>
      <c r="H54" s="186">
        <f>SUM(H44:H53)</f>
        <v>0</v>
      </c>
      <c r="I54" s="284"/>
      <c r="J54" s="284"/>
      <c r="K54" s="284"/>
      <c r="L54" s="265"/>
      <c r="M54" s="265"/>
      <c r="N54" s="186">
        <f>SUM(N44:N53)</f>
        <v>0</v>
      </c>
      <c r="O54" s="284"/>
      <c r="P54" s="284"/>
      <c r="Q54" s="284"/>
      <c r="R54" s="265"/>
      <c r="S54" s="265"/>
      <c r="T54" s="186">
        <f>SUM(T44:T53)</f>
        <v>0</v>
      </c>
      <c r="U54" s="284"/>
      <c r="V54" s="284"/>
      <c r="W54" s="284"/>
      <c r="X54" s="265"/>
      <c r="Y54" s="265"/>
      <c r="Z54" s="186">
        <f>SUM(Z44:Z53)</f>
        <v>0</v>
      </c>
      <c r="AA54" s="284"/>
      <c r="AB54" s="284"/>
      <c r="AC54" s="284"/>
      <c r="AD54" s="265"/>
      <c r="AE54" s="265"/>
      <c r="AF54" s="186">
        <f>SUM(AF44:AF53)</f>
        <v>0</v>
      </c>
      <c r="AG54" s="152">
        <f>SUM(AG44:AG53)</f>
        <v>0</v>
      </c>
      <c r="AH54" s="210" t="s">
        <v>99</v>
      </c>
      <c r="AI54" s="3"/>
      <c r="AJ54" s="3"/>
      <c r="AK54" s="14"/>
    </row>
    <row r="55" spans="1:93" ht="17.25" customHeight="1" outlineLevel="1" x14ac:dyDescent="0.35">
      <c r="A55" s="294" t="s">
        <v>100</v>
      </c>
      <c r="B55" s="170" t="s">
        <v>139</v>
      </c>
      <c r="C55" s="170"/>
      <c r="D55" s="170"/>
      <c r="E55" s="170"/>
      <c r="F55" s="170"/>
      <c r="G55" s="174"/>
      <c r="H55" s="224"/>
      <c r="I55" s="224"/>
      <c r="J55" s="224"/>
      <c r="K55" s="224"/>
      <c r="L55" s="263"/>
      <c r="M55" s="261"/>
      <c r="N55" s="261"/>
      <c r="O55" s="261"/>
      <c r="P55" s="261"/>
      <c r="Q55" s="261"/>
      <c r="R55" s="263"/>
      <c r="S55" s="261"/>
      <c r="T55" s="261"/>
      <c r="U55" s="261"/>
      <c r="V55" s="261"/>
      <c r="W55" s="261"/>
      <c r="X55" s="263"/>
      <c r="Y55" s="261"/>
      <c r="Z55" s="261"/>
      <c r="AA55" s="261"/>
      <c r="AB55" s="261"/>
      <c r="AC55" s="261"/>
      <c r="AD55" s="263"/>
      <c r="AE55" s="261"/>
      <c r="AF55" s="261"/>
      <c r="AG55" s="286"/>
      <c r="AH55" s="212" t="s">
        <v>100</v>
      </c>
      <c r="AI55" s="12"/>
      <c r="AJ55" s="12"/>
      <c r="AK55" s="13"/>
      <c r="AL55" s="14"/>
      <c r="AM55" s="2"/>
      <c r="AN55" s="3"/>
    </row>
    <row r="56" spans="1:93" s="20" customFormat="1" outlineLevel="1" x14ac:dyDescent="0.2">
      <c r="A56" s="122" t="s">
        <v>102</v>
      </c>
      <c r="B56" s="225" t="s">
        <v>103</v>
      </c>
      <c r="C56" s="739"/>
      <c r="D56" s="843"/>
      <c r="E56" s="843"/>
      <c r="F56" s="843"/>
      <c r="G56" s="843"/>
      <c r="H56" s="291" t="s">
        <v>37</v>
      </c>
      <c r="I56" s="691"/>
      <c r="J56" s="844"/>
      <c r="K56" s="844"/>
      <c r="L56" s="844"/>
      <c r="M56" s="844"/>
      <c r="N56" s="291" t="s">
        <v>38</v>
      </c>
      <c r="O56" s="691"/>
      <c r="P56" s="844"/>
      <c r="Q56" s="844"/>
      <c r="R56" s="844"/>
      <c r="S56" s="844"/>
      <c r="T56" s="291" t="s">
        <v>39</v>
      </c>
      <c r="U56" s="691"/>
      <c r="V56" s="844"/>
      <c r="W56" s="844"/>
      <c r="X56" s="844"/>
      <c r="Y56" s="844"/>
      <c r="Z56" s="291" t="s">
        <v>40</v>
      </c>
      <c r="AA56" s="691"/>
      <c r="AB56" s="844"/>
      <c r="AC56" s="844"/>
      <c r="AD56" s="844"/>
      <c r="AE56" s="844"/>
      <c r="AF56" s="291" t="s">
        <v>41</v>
      </c>
      <c r="AG56" s="286"/>
      <c r="AH56" s="213"/>
      <c r="AI56" s="15"/>
      <c r="AJ56" s="15"/>
      <c r="AK56" s="16"/>
      <c r="AL56" s="17"/>
      <c r="AM56" s="18"/>
      <c r="AN56" s="19"/>
    </row>
    <row r="57" spans="1:93" s="20" customFormat="1" outlineLevel="1" x14ac:dyDescent="0.2">
      <c r="A57" s="295" t="s">
        <v>104</v>
      </c>
      <c r="B57" s="296"/>
      <c r="C57" s="297"/>
      <c r="D57" s="224"/>
      <c r="E57" s="224"/>
      <c r="F57" s="224"/>
      <c r="G57" s="298"/>
      <c r="H57" s="112"/>
      <c r="I57" s="261"/>
      <c r="J57" s="261"/>
      <c r="K57" s="261"/>
      <c r="L57" s="263"/>
      <c r="M57" s="261"/>
      <c r="N57" s="112"/>
      <c r="O57" s="261"/>
      <c r="P57" s="261"/>
      <c r="Q57" s="261"/>
      <c r="R57" s="263"/>
      <c r="S57" s="261"/>
      <c r="T57" s="112"/>
      <c r="U57" s="261"/>
      <c r="V57" s="261"/>
      <c r="W57" s="261"/>
      <c r="X57" s="263"/>
      <c r="Y57" s="261"/>
      <c r="Z57" s="112"/>
      <c r="AA57" s="261"/>
      <c r="AB57" s="261"/>
      <c r="AC57" s="261"/>
      <c r="AD57" s="263"/>
      <c r="AE57" s="261"/>
      <c r="AF57" s="112"/>
      <c r="AG57" s="158">
        <f>SUM(AF57,Z57,T57,N57,H57)</f>
        <v>0</v>
      </c>
      <c r="AH57" s="206" t="s">
        <v>104</v>
      </c>
      <c r="AI57" s="15"/>
      <c r="AJ57" s="15"/>
      <c r="AK57" s="16"/>
      <c r="AL57" s="21"/>
      <c r="AM57" s="18"/>
      <c r="AN57" s="19"/>
    </row>
    <row r="58" spans="1:93" s="27" customFormat="1" ht="13.5" outlineLevel="1" thickBot="1" x14ac:dyDescent="0.25">
      <c r="A58" s="295" t="s">
        <v>105</v>
      </c>
      <c r="B58" s="296"/>
      <c r="C58" s="299"/>
      <c r="D58" s="225"/>
      <c r="E58" s="225"/>
      <c r="F58" s="224"/>
      <c r="G58" s="298"/>
      <c r="H58" s="114"/>
      <c r="I58" s="261"/>
      <c r="J58" s="261"/>
      <c r="K58" s="261"/>
      <c r="L58" s="263"/>
      <c r="M58" s="261"/>
      <c r="N58" s="114"/>
      <c r="O58" s="261"/>
      <c r="P58" s="261"/>
      <c r="Q58" s="261"/>
      <c r="R58" s="263"/>
      <c r="S58" s="261"/>
      <c r="T58" s="114"/>
      <c r="U58" s="261"/>
      <c r="V58" s="261"/>
      <c r="W58" s="261"/>
      <c r="X58" s="263"/>
      <c r="Y58" s="261"/>
      <c r="Z58" s="114"/>
      <c r="AA58" s="261"/>
      <c r="AB58" s="261"/>
      <c r="AC58" s="261"/>
      <c r="AD58" s="263"/>
      <c r="AE58" s="261"/>
      <c r="AF58" s="114"/>
      <c r="AG58" s="158">
        <f>SUM(AF58,Z58,T58,N58,H58)</f>
        <v>0</v>
      </c>
      <c r="AH58" s="206" t="s">
        <v>105</v>
      </c>
      <c r="AI58" s="22"/>
      <c r="AJ58" s="22"/>
      <c r="AK58" s="23"/>
      <c r="AL58" s="24"/>
      <c r="AM58" s="25"/>
      <c r="AN58" s="26"/>
    </row>
    <row r="59" spans="1:93" s="27" customFormat="1" ht="13.5" outlineLevel="1" thickBot="1" x14ac:dyDescent="0.25">
      <c r="A59" s="300" t="s">
        <v>106</v>
      </c>
      <c r="B59" s="301"/>
      <c r="C59" s="815" t="s">
        <v>107</v>
      </c>
      <c r="D59" s="845"/>
      <c r="E59" s="845"/>
      <c r="F59" s="845"/>
      <c r="G59" s="193">
        <f>IF(H59&gt;=25000,25000,H59)</f>
        <v>0</v>
      </c>
      <c r="H59" s="194">
        <f>ROUND(SUM(H57:H58),0)</f>
        <v>0</v>
      </c>
      <c r="I59" s="811" t="s">
        <v>107</v>
      </c>
      <c r="J59" s="839"/>
      <c r="K59" s="839"/>
      <c r="L59" s="839"/>
      <c r="M59" s="195">
        <f>IF((N59+G59)&gt;=25000,25000-G59,N59)</f>
        <v>0</v>
      </c>
      <c r="N59" s="194">
        <f>ROUND(SUM(N57:N58),0)</f>
        <v>0</v>
      </c>
      <c r="O59" s="811" t="s">
        <v>107</v>
      </c>
      <c r="P59" s="839"/>
      <c r="Q59" s="839"/>
      <c r="R59" s="839"/>
      <c r="S59" s="195">
        <f>IF((T59+M59+G59)&gt;=25000,25000-M59-G59,T59)</f>
        <v>0</v>
      </c>
      <c r="T59" s="194">
        <f>ROUND(SUM(T57:T58),0)</f>
        <v>0</v>
      </c>
      <c r="U59" s="811" t="s">
        <v>107</v>
      </c>
      <c r="V59" s="839"/>
      <c r="W59" s="839"/>
      <c r="X59" s="839"/>
      <c r="Y59" s="195">
        <f>IF((Z59+S59+M59+G59)&gt;=25000,25000-S59-M59-G59,Z59)</f>
        <v>0</v>
      </c>
      <c r="Z59" s="194">
        <f>ROUND(SUM(Z57:Z58),0)</f>
        <v>0</v>
      </c>
      <c r="AA59" s="811" t="s">
        <v>107</v>
      </c>
      <c r="AB59" s="839"/>
      <c r="AC59" s="839"/>
      <c r="AD59" s="839"/>
      <c r="AE59" s="196">
        <f>IF((AF59+Y59+S59+M59+G59)&gt;=25000,25000-Y59-S59-M59-G59,AF59)</f>
        <v>0</v>
      </c>
      <c r="AF59" s="194">
        <f>ROUND(SUM(AF57:AF58),0)</f>
        <v>0</v>
      </c>
      <c r="AG59" s="159">
        <f>SUM(H59,N59,T59,Z59,AF59)</f>
        <v>0</v>
      </c>
      <c r="AH59" s="202" t="s">
        <v>108</v>
      </c>
      <c r="AI59" s="22"/>
      <c r="AJ59" s="22"/>
      <c r="AK59" s="23"/>
      <c r="AL59" s="24"/>
      <c r="AM59" s="25"/>
      <c r="AN59" s="26"/>
    </row>
    <row r="60" spans="1:93" s="34" customFormat="1" outlineLevel="1" x14ac:dyDescent="0.2">
      <c r="A60" s="122" t="s">
        <v>102</v>
      </c>
      <c r="B60" s="225" t="s">
        <v>109</v>
      </c>
      <c r="C60" s="302"/>
      <c r="D60" s="302"/>
      <c r="E60" s="302"/>
      <c r="F60" s="302"/>
      <c r="G60" s="302"/>
      <c r="H60" s="291" t="s">
        <v>37</v>
      </c>
      <c r="I60" s="691"/>
      <c r="J60" s="844"/>
      <c r="K60" s="844"/>
      <c r="L60" s="844"/>
      <c r="M60" s="844"/>
      <c r="N60" s="291" t="s">
        <v>38</v>
      </c>
      <c r="O60" s="691"/>
      <c r="P60" s="844"/>
      <c r="Q60" s="844"/>
      <c r="R60" s="844"/>
      <c r="S60" s="844"/>
      <c r="T60" s="291" t="s">
        <v>39</v>
      </c>
      <c r="U60" s="691"/>
      <c r="V60" s="844"/>
      <c r="W60" s="844"/>
      <c r="X60" s="844"/>
      <c r="Y60" s="844"/>
      <c r="Z60" s="291" t="s">
        <v>40</v>
      </c>
      <c r="AA60" s="691"/>
      <c r="AB60" s="844"/>
      <c r="AC60" s="844"/>
      <c r="AD60" s="844"/>
      <c r="AE60" s="844"/>
      <c r="AF60" s="291" t="s">
        <v>41</v>
      </c>
      <c r="AG60" s="286"/>
      <c r="AH60" s="214"/>
      <c r="AI60" s="28"/>
      <c r="AJ60" s="28"/>
      <c r="AK60" s="29"/>
      <c r="AL60" s="30"/>
      <c r="AM60" s="31"/>
      <c r="AN60" s="32"/>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row>
    <row r="61" spans="1:93" s="33" customFormat="1" outlineLevel="1" x14ac:dyDescent="0.2">
      <c r="A61" s="295" t="s">
        <v>104</v>
      </c>
      <c r="B61" s="303"/>
      <c r="C61" s="299"/>
      <c r="D61" s="224"/>
      <c r="E61" s="224"/>
      <c r="F61" s="224"/>
      <c r="G61" s="298"/>
      <c r="H61" s="112"/>
      <c r="I61" s="261"/>
      <c r="J61" s="261"/>
      <c r="K61" s="261"/>
      <c r="L61" s="263"/>
      <c r="M61" s="261"/>
      <c r="N61" s="112"/>
      <c r="O61" s="261"/>
      <c r="P61" s="261"/>
      <c r="Q61" s="261"/>
      <c r="R61" s="263"/>
      <c r="S61" s="261"/>
      <c r="T61" s="112"/>
      <c r="U61" s="261"/>
      <c r="V61" s="261"/>
      <c r="W61" s="261"/>
      <c r="X61" s="263"/>
      <c r="Y61" s="261"/>
      <c r="Z61" s="112"/>
      <c r="AA61" s="261"/>
      <c r="AB61" s="261"/>
      <c r="AC61" s="261"/>
      <c r="AD61" s="263"/>
      <c r="AE61" s="261"/>
      <c r="AF61" s="112"/>
      <c r="AG61" s="158">
        <f>SUM(AF61,Z61,T61,N61,H61)</f>
        <v>0</v>
      </c>
      <c r="AH61" s="200" t="s">
        <v>104</v>
      </c>
      <c r="AI61" s="28"/>
      <c r="AJ61" s="28"/>
      <c r="AK61" s="35"/>
      <c r="AL61" s="30"/>
      <c r="AM61" s="31"/>
      <c r="AN61" s="32"/>
    </row>
    <row r="62" spans="1:93" s="33" customFormat="1" ht="13.5" outlineLevel="1" thickBot="1" x14ac:dyDescent="0.25">
      <c r="A62" s="295" t="s">
        <v>105</v>
      </c>
      <c r="B62" s="303"/>
      <c r="C62" s="299"/>
      <c r="D62" s="224"/>
      <c r="E62" s="224"/>
      <c r="F62" s="224"/>
      <c r="G62" s="298"/>
      <c r="H62" s="114"/>
      <c r="I62" s="261"/>
      <c r="J62" s="261"/>
      <c r="K62" s="261"/>
      <c r="L62" s="263"/>
      <c r="M62" s="261"/>
      <c r="N62" s="114"/>
      <c r="O62" s="261"/>
      <c r="P62" s="261"/>
      <c r="Q62" s="261"/>
      <c r="R62" s="263"/>
      <c r="S62" s="261"/>
      <c r="T62" s="114"/>
      <c r="U62" s="261"/>
      <c r="V62" s="261"/>
      <c r="W62" s="261"/>
      <c r="X62" s="263"/>
      <c r="Y62" s="261"/>
      <c r="Z62" s="114"/>
      <c r="AA62" s="261"/>
      <c r="AB62" s="261"/>
      <c r="AC62" s="261"/>
      <c r="AD62" s="263"/>
      <c r="AE62" s="261"/>
      <c r="AF62" s="114"/>
      <c r="AG62" s="158">
        <f>SUM(AF62,Z62,T62,N62,H62)</f>
        <v>0</v>
      </c>
      <c r="AH62" s="200" t="s">
        <v>105</v>
      </c>
      <c r="AI62" s="36"/>
      <c r="AJ62" s="36"/>
      <c r="AK62" s="62"/>
      <c r="AL62" s="30"/>
      <c r="AM62" s="31"/>
      <c r="AN62" s="32"/>
    </row>
    <row r="63" spans="1:93" s="33" customFormat="1" ht="13.5" outlineLevel="1" thickBot="1" x14ac:dyDescent="0.25">
      <c r="A63" s="300" t="s">
        <v>110</v>
      </c>
      <c r="B63" s="304"/>
      <c r="C63" s="815" t="s">
        <v>107</v>
      </c>
      <c r="D63" s="845"/>
      <c r="E63" s="845"/>
      <c r="F63" s="845"/>
      <c r="G63" s="193">
        <f>IF(H63&gt;=25000,25000,H63)</f>
        <v>0</v>
      </c>
      <c r="H63" s="194">
        <f>ROUND(SUM(H61:H62),0)</f>
        <v>0</v>
      </c>
      <c r="I63" s="811" t="s">
        <v>107</v>
      </c>
      <c r="J63" s="839"/>
      <c r="K63" s="839"/>
      <c r="L63" s="839"/>
      <c r="M63" s="195">
        <f>IF((N63+G63)&gt;=25000,25000-G63,N63)</f>
        <v>0</v>
      </c>
      <c r="N63" s="194">
        <f>ROUND(SUM(N61:N62),0)</f>
        <v>0</v>
      </c>
      <c r="O63" s="811" t="s">
        <v>107</v>
      </c>
      <c r="P63" s="839"/>
      <c r="Q63" s="839"/>
      <c r="R63" s="839"/>
      <c r="S63" s="195">
        <f>IF((T63+M63+G63)&gt;=25000,25000-M63-G63,T63)</f>
        <v>0</v>
      </c>
      <c r="T63" s="194">
        <f>ROUND(SUM(T61:T62),0)</f>
        <v>0</v>
      </c>
      <c r="U63" s="811" t="s">
        <v>107</v>
      </c>
      <c r="V63" s="839"/>
      <c r="W63" s="839"/>
      <c r="X63" s="839"/>
      <c r="Y63" s="195">
        <f>IF((Z63+S63+M63+G63)&gt;=25000,25000-S63-M63-G63,Z63)</f>
        <v>0</v>
      </c>
      <c r="Z63" s="194">
        <f>ROUND(SUM(Z61:Z62),0)</f>
        <v>0</v>
      </c>
      <c r="AA63" s="811" t="s">
        <v>107</v>
      </c>
      <c r="AB63" s="839"/>
      <c r="AC63" s="839"/>
      <c r="AD63" s="839"/>
      <c r="AE63" s="196">
        <f>IF((AF63+Y63+S63+M63+G63)&gt;=25000,25000-Y63-S63-M63-G63,AF63)</f>
        <v>0</v>
      </c>
      <c r="AF63" s="194">
        <f>ROUND(SUM(AF61:AF62),0)</f>
        <v>0</v>
      </c>
      <c r="AG63" s="159">
        <f>SUM(H63,N63,T63,Z63,AF63)</f>
        <v>0</v>
      </c>
      <c r="AH63" s="202" t="s">
        <v>111</v>
      </c>
      <c r="AI63" s="36"/>
      <c r="AJ63" s="36"/>
      <c r="AK63" s="62"/>
      <c r="AL63" s="30"/>
      <c r="AM63" s="31"/>
      <c r="AN63" s="32"/>
    </row>
    <row r="64" spans="1:93" s="33" customFormat="1" outlineLevel="1" x14ac:dyDescent="0.2">
      <c r="A64" s="122" t="s">
        <v>102</v>
      </c>
      <c r="B64" s="225" t="s">
        <v>112</v>
      </c>
      <c r="C64" s="305"/>
      <c r="D64" s="305"/>
      <c r="E64" s="305"/>
      <c r="F64" s="305"/>
      <c r="G64" s="305"/>
      <c r="H64" s="291" t="s">
        <v>37</v>
      </c>
      <c r="I64" s="691"/>
      <c r="J64" s="844"/>
      <c r="K64" s="844"/>
      <c r="L64" s="844"/>
      <c r="M64" s="844"/>
      <c r="N64" s="291" t="s">
        <v>38</v>
      </c>
      <c r="O64" s="691"/>
      <c r="P64" s="844"/>
      <c r="Q64" s="844"/>
      <c r="R64" s="844"/>
      <c r="S64" s="844"/>
      <c r="T64" s="291" t="s">
        <v>39</v>
      </c>
      <c r="U64" s="691"/>
      <c r="V64" s="844"/>
      <c r="W64" s="844"/>
      <c r="X64" s="844"/>
      <c r="Y64" s="844"/>
      <c r="Z64" s="291" t="s">
        <v>40</v>
      </c>
      <c r="AA64" s="691"/>
      <c r="AB64" s="844"/>
      <c r="AC64" s="844"/>
      <c r="AD64" s="844"/>
      <c r="AE64" s="844"/>
      <c r="AF64" s="291" t="s">
        <v>41</v>
      </c>
      <c r="AG64" s="286"/>
      <c r="AH64" s="202"/>
      <c r="AI64" s="36"/>
      <c r="AJ64" s="36"/>
      <c r="AK64" s="62"/>
      <c r="AL64" s="30"/>
      <c r="AM64" s="31"/>
      <c r="AN64" s="32"/>
    </row>
    <row r="65" spans="1:93" s="33" customFormat="1" outlineLevel="1" x14ac:dyDescent="0.2">
      <c r="A65" s="295" t="s">
        <v>104</v>
      </c>
      <c r="B65" s="306"/>
      <c r="C65" s="299"/>
      <c r="D65" s="224"/>
      <c r="E65" s="224"/>
      <c r="F65" s="224"/>
      <c r="G65" s="298"/>
      <c r="H65" s="112"/>
      <c r="I65" s="261"/>
      <c r="J65" s="261"/>
      <c r="K65" s="261"/>
      <c r="L65" s="263"/>
      <c r="M65" s="261"/>
      <c r="N65" s="112"/>
      <c r="O65" s="261"/>
      <c r="P65" s="261"/>
      <c r="Q65" s="261"/>
      <c r="R65" s="263"/>
      <c r="S65" s="261"/>
      <c r="T65" s="112"/>
      <c r="U65" s="261"/>
      <c r="V65" s="261"/>
      <c r="W65" s="261"/>
      <c r="X65" s="263"/>
      <c r="Y65" s="261"/>
      <c r="Z65" s="112"/>
      <c r="AA65" s="261"/>
      <c r="AB65" s="261"/>
      <c r="AC65" s="261"/>
      <c r="AD65" s="263"/>
      <c r="AE65" s="261"/>
      <c r="AF65" s="112"/>
      <c r="AG65" s="158">
        <f>SUM(AF65,Z65,T65,N65,H65)</f>
        <v>0</v>
      </c>
      <c r="AH65" s="215" t="s">
        <v>104</v>
      </c>
      <c r="AI65" s="36"/>
      <c r="AJ65" s="36"/>
      <c r="AK65" s="62"/>
      <c r="AL65" s="30"/>
      <c r="AM65" s="31"/>
      <c r="AN65" s="32"/>
    </row>
    <row r="66" spans="1:93" s="33" customFormat="1" ht="13.5" outlineLevel="1" thickBot="1" x14ac:dyDescent="0.25">
      <c r="A66" s="295" t="s">
        <v>105</v>
      </c>
      <c r="B66" s="306"/>
      <c r="C66" s="299"/>
      <c r="D66" s="225"/>
      <c r="E66" s="225"/>
      <c r="F66" s="224"/>
      <c r="G66" s="298"/>
      <c r="H66" s="114"/>
      <c r="I66" s="261"/>
      <c r="J66" s="261"/>
      <c r="K66" s="261"/>
      <c r="L66" s="263"/>
      <c r="M66" s="261"/>
      <c r="N66" s="114"/>
      <c r="O66" s="261"/>
      <c r="P66" s="261"/>
      <c r="Q66" s="261"/>
      <c r="R66" s="263"/>
      <c r="S66" s="261"/>
      <c r="T66" s="114"/>
      <c r="U66" s="261"/>
      <c r="V66" s="261"/>
      <c r="W66" s="261"/>
      <c r="X66" s="263"/>
      <c r="Y66" s="261"/>
      <c r="Z66" s="114"/>
      <c r="AA66" s="261"/>
      <c r="AB66" s="261"/>
      <c r="AC66" s="261"/>
      <c r="AD66" s="263"/>
      <c r="AE66" s="261"/>
      <c r="AF66" s="114"/>
      <c r="AG66" s="158">
        <f>SUM(AF66,Z66,T66,N66,H66)</f>
        <v>0</v>
      </c>
      <c r="AH66" s="215" t="s">
        <v>105</v>
      </c>
      <c r="AI66" s="36"/>
      <c r="AJ66" s="36"/>
      <c r="AK66" s="62"/>
      <c r="AL66" s="30"/>
      <c r="AM66" s="31"/>
      <c r="AN66" s="32"/>
    </row>
    <row r="67" spans="1:93" s="33" customFormat="1" ht="13.5" outlineLevel="1" thickBot="1" x14ac:dyDescent="0.25">
      <c r="A67" s="300" t="s">
        <v>113</v>
      </c>
      <c r="B67" s="307"/>
      <c r="C67" s="815" t="s">
        <v>107</v>
      </c>
      <c r="D67" s="845"/>
      <c r="E67" s="845"/>
      <c r="F67" s="845"/>
      <c r="G67" s="193">
        <f>IF(H67&gt;=25000,25000,H67)</f>
        <v>0</v>
      </c>
      <c r="H67" s="194">
        <f>ROUND(SUM(H65:H66),0)</f>
        <v>0</v>
      </c>
      <c r="I67" s="811" t="s">
        <v>107</v>
      </c>
      <c r="J67" s="839"/>
      <c r="K67" s="839"/>
      <c r="L67" s="839"/>
      <c r="M67" s="195">
        <f>IF((N67+G67)&gt;=25000,25000-G67,N67)</f>
        <v>0</v>
      </c>
      <c r="N67" s="194">
        <f>ROUND(SUM(N65:N66),0)</f>
        <v>0</v>
      </c>
      <c r="O67" s="811" t="s">
        <v>107</v>
      </c>
      <c r="P67" s="839"/>
      <c r="Q67" s="839"/>
      <c r="R67" s="839"/>
      <c r="S67" s="195">
        <f>IF((T67+M67+G67)&gt;=25000,25000-M67-G67,T67)</f>
        <v>0</v>
      </c>
      <c r="T67" s="194">
        <f>ROUND(SUM(T65:T66),0)</f>
        <v>0</v>
      </c>
      <c r="U67" s="811" t="s">
        <v>107</v>
      </c>
      <c r="V67" s="839"/>
      <c r="W67" s="839"/>
      <c r="X67" s="839"/>
      <c r="Y67" s="195">
        <f>IF((Z67+S67+M67+G67)&gt;=25000,25000-S67-M67-G67,Z67)</f>
        <v>0</v>
      </c>
      <c r="Z67" s="194">
        <f>ROUND(SUM(Z65:Z66),0)</f>
        <v>0</v>
      </c>
      <c r="AA67" s="811" t="s">
        <v>107</v>
      </c>
      <c r="AB67" s="839"/>
      <c r="AC67" s="839"/>
      <c r="AD67" s="839"/>
      <c r="AE67" s="196">
        <f>IF((AF67+Y67+S67+M67+G67)&gt;=25000,25000-Y67-S67-M67-G67,AF67)</f>
        <v>0</v>
      </c>
      <c r="AF67" s="194">
        <f>ROUND(SUM(AF65:AF66),0)</f>
        <v>0</v>
      </c>
      <c r="AG67" s="159">
        <f>SUM(H67,N67,T67,Z67,AF67)</f>
        <v>0</v>
      </c>
      <c r="AH67" s="202" t="s">
        <v>114</v>
      </c>
      <c r="AI67" s="36"/>
      <c r="AJ67" s="36"/>
      <c r="AK67" s="62"/>
      <c r="AL67" s="30"/>
      <c r="AM67" s="31"/>
      <c r="AN67" s="32"/>
    </row>
    <row r="68" spans="1:93" s="33" customFormat="1" outlineLevel="1" x14ac:dyDescent="0.2">
      <c r="A68" s="122" t="s">
        <v>102</v>
      </c>
      <c r="B68" s="225" t="s">
        <v>115</v>
      </c>
      <c r="C68" s="305"/>
      <c r="D68" s="305"/>
      <c r="E68" s="305"/>
      <c r="F68" s="305"/>
      <c r="G68" s="305"/>
      <c r="H68" s="291" t="s">
        <v>37</v>
      </c>
      <c r="I68" s="691"/>
      <c r="J68" s="844"/>
      <c r="K68" s="844"/>
      <c r="L68" s="844"/>
      <c r="M68" s="844"/>
      <c r="N68" s="291" t="s">
        <v>38</v>
      </c>
      <c r="O68" s="691"/>
      <c r="P68" s="844"/>
      <c r="Q68" s="844"/>
      <c r="R68" s="844"/>
      <c r="S68" s="844"/>
      <c r="T68" s="291" t="s">
        <v>39</v>
      </c>
      <c r="U68" s="691"/>
      <c r="V68" s="844"/>
      <c r="W68" s="844"/>
      <c r="X68" s="844"/>
      <c r="Y68" s="844"/>
      <c r="Z68" s="291" t="s">
        <v>40</v>
      </c>
      <c r="AA68" s="691"/>
      <c r="AB68" s="844"/>
      <c r="AC68" s="844"/>
      <c r="AD68" s="844"/>
      <c r="AE68" s="844"/>
      <c r="AF68" s="291" t="s">
        <v>41</v>
      </c>
      <c r="AG68" s="286"/>
      <c r="AH68" s="202"/>
      <c r="AI68" s="36"/>
      <c r="AJ68" s="36"/>
      <c r="AK68" s="62"/>
      <c r="AL68" s="30"/>
      <c r="AM68" s="31"/>
      <c r="AN68" s="32"/>
    </row>
    <row r="69" spans="1:93" s="33" customFormat="1" outlineLevel="1" x14ac:dyDescent="0.2">
      <c r="A69" s="295" t="s">
        <v>104</v>
      </c>
      <c r="B69" s="306"/>
      <c r="C69" s="299"/>
      <c r="D69" s="224"/>
      <c r="E69" s="224"/>
      <c r="F69" s="224"/>
      <c r="G69" s="298"/>
      <c r="H69" s="112"/>
      <c r="I69" s="261"/>
      <c r="J69" s="261"/>
      <c r="K69" s="261"/>
      <c r="L69" s="263"/>
      <c r="M69" s="261"/>
      <c r="N69" s="112"/>
      <c r="O69" s="261"/>
      <c r="P69" s="261"/>
      <c r="Q69" s="261"/>
      <c r="R69" s="263"/>
      <c r="S69" s="261"/>
      <c r="T69" s="112"/>
      <c r="U69" s="261"/>
      <c r="V69" s="261"/>
      <c r="W69" s="261"/>
      <c r="X69" s="263"/>
      <c r="Y69" s="261"/>
      <c r="Z69" s="112"/>
      <c r="AA69" s="261"/>
      <c r="AB69" s="261"/>
      <c r="AC69" s="261"/>
      <c r="AD69" s="263"/>
      <c r="AE69" s="261"/>
      <c r="AF69" s="112"/>
      <c r="AG69" s="158">
        <f>SUM(AF69,Z69,T69,N69,H69)</f>
        <v>0</v>
      </c>
      <c r="AH69" s="215" t="s">
        <v>104</v>
      </c>
      <c r="AI69" s="36"/>
      <c r="AJ69" s="36"/>
      <c r="AK69" s="62"/>
      <c r="AL69" s="30"/>
      <c r="AM69" s="31"/>
      <c r="AN69" s="32"/>
    </row>
    <row r="70" spans="1:93" s="33" customFormat="1" ht="13.5" outlineLevel="1" thickBot="1" x14ac:dyDescent="0.25">
      <c r="A70" s="295" t="s">
        <v>105</v>
      </c>
      <c r="B70" s="306"/>
      <c r="C70" s="299"/>
      <c r="D70" s="225"/>
      <c r="E70" s="225"/>
      <c r="F70" s="224"/>
      <c r="G70" s="298"/>
      <c r="H70" s="114"/>
      <c r="I70" s="261"/>
      <c r="J70" s="261"/>
      <c r="K70" s="261"/>
      <c r="L70" s="263"/>
      <c r="M70" s="261"/>
      <c r="N70" s="114"/>
      <c r="O70" s="261"/>
      <c r="P70" s="261"/>
      <c r="Q70" s="261"/>
      <c r="R70" s="263"/>
      <c r="S70" s="261"/>
      <c r="T70" s="114"/>
      <c r="U70" s="261"/>
      <c r="V70" s="261"/>
      <c r="W70" s="261"/>
      <c r="X70" s="263"/>
      <c r="Y70" s="261"/>
      <c r="Z70" s="114"/>
      <c r="AA70" s="261"/>
      <c r="AB70" s="261"/>
      <c r="AC70" s="261"/>
      <c r="AD70" s="263"/>
      <c r="AE70" s="261"/>
      <c r="AF70" s="114"/>
      <c r="AG70" s="158">
        <f>SUM(AF70,Z70,T70,N70,H70)</f>
        <v>0</v>
      </c>
      <c r="AH70" s="215" t="s">
        <v>105</v>
      </c>
      <c r="AI70" s="36"/>
      <c r="AJ70" s="36"/>
      <c r="AK70" s="62"/>
      <c r="AL70" s="30"/>
      <c r="AM70" s="31"/>
      <c r="AN70" s="32"/>
    </row>
    <row r="71" spans="1:93" s="33" customFormat="1" ht="13.5" outlineLevel="1" thickBot="1" x14ac:dyDescent="0.25">
      <c r="A71" s="300" t="s">
        <v>116</v>
      </c>
      <c r="B71" s="307"/>
      <c r="C71" s="815" t="s">
        <v>107</v>
      </c>
      <c r="D71" s="845"/>
      <c r="E71" s="845"/>
      <c r="F71" s="845"/>
      <c r="G71" s="193">
        <f>IF(H71&gt;=25000,25000,H71)</f>
        <v>0</v>
      </c>
      <c r="H71" s="194">
        <f>ROUND(SUM(H69:H70),0)</f>
        <v>0</v>
      </c>
      <c r="I71" s="811" t="s">
        <v>107</v>
      </c>
      <c r="J71" s="839"/>
      <c r="K71" s="839"/>
      <c r="L71" s="839"/>
      <c r="M71" s="195">
        <f>IF((N71+G71)&gt;=25000,25000-G71,N71)</f>
        <v>0</v>
      </c>
      <c r="N71" s="194">
        <f>ROUND(SUM(N69:N70),0)</f>
        <v>0</v>
      </c>
      <c r="O71" s="811" t="s">
        <v>107</v>
      </c>
      <c r="P71" s="839"/>
      <c r="Q71" s="839"/>
      <c r="R71" s="839"/>
      <c r="S71" s="195">
        <f>IF((T71+M71+G71)&gt;=25000,25000-M71-G71,T71)</f>
        <v>0</v>
      </c>
      <c r="T71" s="194">
        <f>ROUND(SUM(T69:T70),0)</f>
        <v>0</v>
      </c>
      <c r="U71" s="811" t="s">
        <v>107</v>
      </c>
      <c r="V71" s="839"/>
      <c r="W71" s="839"/>
      <c r="X71" s="839"/>
      <c r="Y71" s="195">
        <f>IF((Z71+S71+M71+G71)&gt;=25000,25000-S71-M71-G71,Z71)</f>
        <v>0</v>
      </c>
      <c r="Z71" s="194">
        <f>ROUND(SUM(Z69:Z70),0)</f>
        <v>0</v>
      </c>
      <c r="AA71" s="811" t="s">
        <v>107</v>
      </c>
      <c r="AB71" s="839"/>
      <c r="AC71" s="839"/>
      <c r="AD71" s="839"/>
      <c r="AE71" s="196">
        <f>IF((AF71+Y71+S71+M71+G71)&gt;=25000,25000-Y71-S71-M71-G71,AF71)</f>
        <v>0</v>
      </c>
      <c r="AF71" s="194">
        <f>ROUND(SUM(AF69:AF70),0)</f>
        <v>0</v>
      </c>
      <c r="AG71" s="159">
        <f>SUM(H71,N71,T71,Z71,AF71)</f>
        <v>0</v>
      </c>
      <c r="AH71" s="202" t="s">
        <v>117</v>
      </c>
      <c r="AI71" s="36"/>
      <c r="AJ71" s="36"/>
      <c r="AK71" s="62"/>
      <c r="AL71" s="30"/>
      <c r="AM71" s="31"/>
      <c r="AN71" s="32"/>
    </row>
    <row r="72" spans="1:93" s="40" customFormat="1" outlineLevel="1" x14ac:dyDescent="0.2">
      <c r="A72" s="122" t="s">
        <v>102</v>
      </c>
      <c r="B72" s="225" t="s">
        <v>174</v>
      </c>
      <c r="C72" s="305"/>
      <c r="D72" s="305"/>
      <c r="E72" s="305"/>
      <c r="F72" s="305"/>
      <c r="G72" s="305"/>
      <c r="H72" s="291" t="s">
        <v>37</v>
      </c>
      <c r="I72" s="691"/>
      <c r="J72" s="844"/>
      <c r="K72" s="844"/>
      <c r="L72" s="844"/>
      <c r="M72" s="844"/>
      <c r="N72" s="291" t="s">
        <v>38</v>
      </c>
      <c r="O72" s="691"/>
      <c r="P72" s="844"/>
      <c r="Q72" s="844"/>
      <c r="R72" s="844"/>
      <c r="S72" s="844"/>
      <c r="T72" s="291" t="s">
        <v>39</v>
      </c>
      <c r="U72" s="691"/>
      <c r="V72" s="844"/>
      <c r="W72" s="844"/>
      <c r="X72" s="844"/>
      <c r="Y72" s="844"/>
      <c r="Z72" s="291" t="s">
        <v>40</v>
      </c>
      <c r="AA72" s="691"/>
      <c r="AB72" s="844"/>
      <c r="AC72" s="844"/>
      <c r="AD72" s="844"/>
      <c r="AE72" s="844"/>
      <c r="AF72" s="291" t="s">
        <v>41</v>
      </c>
      <c r="AG72" s="286"/>
      <c r="AH72" s="216"/>
      <c r="AI72" s="63"/>
      <c r="AJ72" s="63"/>
      <c r="AK72" s="63"/>
      <c r="AL72" s="64"/>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42" customFormat="1" outlineLevel="1" x14ac:dyDescent="0.2">
      <c r="A73" s="295" t="s">
        <v>104</v>
      </c>
      <c r="B73" s="306"/>
      <c r="C73" s="299"/>
      <c r="D73" s="224"/>
      <c r="E73" s="224"/>
      <c r="F73" s="224"/>
      <c r="G73" s="298"/>
      <c r="H73" s="112"/>
      <c r="I73" s="261"/>
      <c r="J73" s="261"/>
      <c r="K73" s="261"/>
      <c r="L73" s="263"/>
      <c r="M73" s="261"/>
      <c r="N73" s="112"/>
      <c r="O73" s="261"/>
      <c r="P73" s="261"/>
      <c r="Q73" s="261"/>
      <c r="R73" s="263"/>
      <c r="S73" s="261"/>
      <c r="T73" s="112"/>
      <c r="U73" s="261"/>
      <c r="V73" s="261"/>
      <c r="W73" s="261"/>
      <c r="X73" s="263"/>
      <c r="Y73" s="261"/>
      <c r="Z73" s="112"/>
      <c r="AA73" s="261"/>
      <c r="AB73" s="261"/>
      <c r="AC73" s="261"/>
      <c r="AD73" s="263"/>
      <c r="AE73" s="261"/>
      <c r="AF73" s="112"/>
      <c r="AG73" s="158">
        <f>SUM(AF73,Z73,T73,N73,H73)</f>
        <v>0</v>
      </c>
      <c r="AH73" s="215" t="s">
        <v>104</v>
      </c>
      <c r="AI73" s="41"/>
      <c r="AL73" s="41"/>
      <c r="AM73" s="43"/>
      <c r="AN73" s="44"/>
    </row>
    <row r="74" spans="1:93" s="39" customFormat="1" ht="13.5" outlineLevel="1" thickBot="1" x14ac:dyDescent="0.25">
      <c r="A74" s="295" t="s">
        <v>105</v>
      </c>
      <c r="B74" s="306"/>
      <c r="C74" s="299"/>
      <c r="D74" s="225"/>
      <c r="E74" s="225"/>
      <c r="F74" s="224"/>
      <c r="G74" s="298"/>
      <c r="H74" s="114"/>
      <c r="I74" s="261"/>
      <c r="J74" s="261"/>
      <c r="K74" s="261"/>
      <c r="L74" s="263"/>
      <c r="M74" s="261"/>
      <c r="N74" s="114"/>
      <c r="O74" s="261"/>
      <c r="P74" s="261"/>
      <c r="Q74" s="261"/>
      <c r="R74" s="263"/>
      <c r="S74" s="261"/>
      <c r="T74" s="114"/>
      <c r="U74" s="261"/>
      <c r="V74" s="261"/>
      <c r="W74" s="261"/>
      <c r="X74" s="263"/>
      <c r="Y74" s="261"/>
      <c r="Z74" s="114"/>
      <c r="AA74" s="261"/>
      <c r="AB74" s="261"/>
      <c r="AC74" s="261"/>
      <c r="AD74" s="263"/>
      <c r="AE74" s="261"/>
      <c r="AF74" s="114"/>
      <c r="AG74" s="158">
        <f>SUM(AF74,Z74,T74,N74,H74)</f>
        <v>0</v>
      </c>
      <c r="AH74" s="215" t="s">
        <v>105</v>
      </c>
      <c r="AI74" s="45"/>
      <c r="AJ74" s="45"/>
      <c r="AK74" s="46"/>
      <c r="AL74" s="47"/>
      <c r="AM74" s="37"/>
      <c r="AN74" s="38"/>
    </row>
    <row r="75" spans="1:93" s="40" customFormat="1" ht="13.5" outlineLevel="1" thickBot="1" x14ac:dyDescent="0.25">
      <c r="A75" s="308" t="s">
        <v>175</v>
      </c>
      <c r="B75" s="309"/>
      <c r="C75" s="807" t="s">
        <v>107</v>
      </c>
      <c r="D75" s="847"/>
      <c r="E75" s="847"/>
      <c r="F75" s="847"/>
      <c r="G75" s="187">
        <f>IF(H75&gt;=25000,25000,H75)</f>
        <v>0</v>
      </c>
      <c r="H75" s="194">
        <f>ROUND(SUM(H73:H74),0)</f>
        <v>0</v>
      </c>
      <c r="I75" s="809" t="s">
        <v>107</v>
      </c>
      <c r="J75" s="846"/>
      <c r="K75" s="846"/>
      <c r="L75" s="846"/>
      <c r="M75" s="188">
        <f>IF((N75+G75)&gt;=25000,25000-G75,N75)</f>
        <v>0</v>
      </c>
      <c r="N75" s="194">
        <f>ROUND(SUM(N73:N74),0)</f>
        <v>0</v>
      </c>
      <c r="O75" s="809" t="s">
        <v>107</v>
      </c>
      <c r="P75" s="846"/>
      <c r="Q75" s="846"/>
      <c r="R75" s="846"/>
      <c r="S75" s="188">
        <f>IF((T75+M75+G75)&gt;=25000,25000-M75-G75,T75)</f>
        <v>0</v>
      </c>
      <c r="T75" s="194">
        <f>ROUND(SUM(T73:T74),0)</f>
        <v>0</v>
      </c>
      <c r="U75" s="809" t="s">
        <v>107</v>
      </c>
      <c r="V75" s="846"/>
      <c r="W75" s="846"/>
      <c r="X75" s="846"/>
      <c r="Y75" s="188">
        <f>IF((Z75+S75+M75+G75)&gt;=25000,25000-S75-M75-G75,Z75)</f>
        <v>0</v>
      </c>
      <c r="Z75" s="194">
        <f>ROUND(SUM(Z73:Z74),0)</f>
        <v>0</v>
      </c>
      <c r="AA75" s="809" t="s">
        <v>107</v>
      </c>
      <c r="AB75" s="846"/>
      <c r="AC75" s="846"/>
      <c r="AD75" s="846"/>
      <c r="AE75" s="188">
        <f>IF((AF75+Y75+S75+M75+G75)&gt;=25000,25000-Y75-S75-M75-G75,AF75)</f>
        <v>0</v>
      </c>
      <c r="AF75" s="194">
        <f>ROUND(SUM(AF73:AF74),0)</f>
        <v>0</v>
      </c>
      <c r="AG75" s="160">
        <f>SUM(H75,N75,T75,Z75,AF75)</f>
        <v>0</v>
      </c>
      <c r="AH75" s="202" t="s">
        <v>176</v>
      </c>
      <c r="AI75" s="45"/>
      <c r="AJ75" s="45"/>
      <c r="AK75" s="46"/>
      <c r="AL75" s="47"/>
      <c r="AM75" s="37"/>
      <c r="AN75" s="38"/>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row>
    <row r="76" spans="1:93" s="39" customFormat="1" ht="13.5" thickTop="1" x14ac:dyDescent="0.2">
      <c r="A76" s="161" t="s">
        <v>47</v>
      </c>
      <c r="B76" s="144"/>
      <c r="C76" s="711"/>
      <c r="D76" s="712"/>
      <c r="E76" s="712"/>
      <c r="F76" s="712"/>
      <c r="G76" s="712"/>
      <c r="H76" s="162" t="s">
        <v>37</v>
      </c>
      <c r="I76" s="754"/>
      <c r="J76" s="755"/>
      <c r="K76" s="755"/>
      <c r="L76" s="755"/>
      <c r="M76" s="755"/>
      <c r="N76" s="162" t="s">
        <v>38</v>
      </c>
      <c r="O76" s="754"/>
      <c r="P76" s="755"/>
      <c r="Q76" s="755"/>
      <c r="R76" s="755"/>
      <c r="S76" s="755"/>
      <c r="T76" s="162" t="s">
        <v>39</v>
      </c>
      <c r="U76" s="754"/>
      <c r="V76" s="755"/>
      <c r="W76" s="755"/>
      <c r="X76" s="755"/>
      <c r="Y76" s="755"/>
      <c r="Z76" s="162" t="s">
        <v>40</v>
      </c>
      <c r="AA76" s="754"/>
      <c r="AB76" s="755"/>
      <c r="AC76" s="755"/>
      <c r="AD76" s="755"/>
      <c r="AE76" s="756"/>
      <c r="AF76" s="163" t="s">
        <v>41</v>
      </c>
      <c r="AG76" s="164" t="s">
        <v>118</v>
      </c>
      <c r="AH76" s="217"/>
      <c r="AI76" s="45"/>
      <c r="AJ76" s="45"/>
      <c r="AK76" s="46"/>
      <c r="AL76" s="47"/>
      <c r="AM76" s="37"/>
      <c r="AN76" s="38"/>
    </row>
    <row r="77" spans="1:93" x14ac:dyDescent="0.2">
      <c r="A77" s="683" t="s">
        <v>121</v>
      </c>
      <c r="B77" s="684"/>
      <c r="C77" s="684"/>
      <c r="D77" s="684"/>
      <c r="E77" s="684"/>
      <c r="F77" s="684"/>
      <c r="G77" s="685"/>
      <c r="H77" s="165">
        <f>SUM(H54,H42,H35,H32,H29,H59,H63,H67,H71,H75)</f>
        <v>0</v>
      </c>
      <c r="I77" s="799" t="s">
        <v>121</v>
      </c>
      <c r="J77" s="800"/>
      <c r="K77" s="800"/>
      <c r="L77" s="800"/>
      <c r="M77" s="679"/>
      <c r="N77" s="165">
        <f>SUM(N54,N42,N35,N32,N29,N59,N63,N67,N71,N75)</f>
        <v>0</v>
      </c>
      <c r="O77" s="799" t="s">
        <v>121</v>
      </c>
      <c r="P77" s="800"/>
      <c r="Q77" s="800"/>
      <c r="R77" s="800"/>
      <c r="S77" s="679"/>
      <c r="T77" s="165">
        <f>SUM(T54,T42,T35,T32,T29,T59,T63,T67,T71,T75)</f>
        <v>0</v>
      </c>
      <c r="U77" s="799" t="s">
        <v>121</v>
      </c>
      <c r="V77" s="800"/>
      <c r="W77" s="800"/>
      <c r="X77" s="800"/>
      <c r="Y77" s="679"/>
      <c r="Z77" s="165">
        <f>SUM(Z54,Z42,Z35,Z32,Z29,Z59,Z63,Z67,Z71,Z75)</f>
        <v>0</v>
      </c>
      <c r="AA77" s="799" t="s">
        <v>121</v>
      </c>
      <c r="AB77" s="800"/>
      <c r="AC77" s="800"/>
      <c r="AD77" s="800"/>
      <c r="AE77" s="679"/>
      <c r="AF77" s="165">
        <f>SUM(AF54,AF42,AF35,AF32,AF29,AF59,AF63,AF67,AF71,AF75)</f>
        <v>0</v>
      </c>
      <c r="AG77" s="166">
        <f>H77+N77+T77+Z77+AF77</f>
        <v>0</v>
      </c>
      <c r="AH77" s="218" t="s">
        <v>121</v>
      </c>
      <c r="AI77" s="65"/>
      <c r="AJ77" s="65"/>
      <c r="AK77" s="65"/>
    </row>
    <row r="78" spans="1:93" x14ac:dyDescent="0.2">
      <c r="A78" s="683" t="s">
        <v>122</v>
      </c>
      <c r="B78" s="684"/>
      <c r="C78" s="684"/>
      <c r="D78" s="684"/>
      <c r="E78" s="684"/>
      <c r="F78" s="684"/>
      <c r="G78" s="685"/>
      <c r="H78" s="167">
        <f>H77-H58-H62-H66-H70-H74</f>
        <v>0</v>
      </c>
      <c r="I78" s="799" t="s">
        <v>124</v>
      </c>
      <c r="J78" s="800"/>
      <c r="K78" s="800"/>
      <c r="L78" s="800"/>
      <c r="M78" s="679"/>
      <c r="N78" s="167">
        <f>N77-N58-N62-N66-N70-N74</f>
        <v>0</v>
      </c>
      <c r="O78" s="799" t="s">
        <v>124</v>
      </c>
      <c r="P78" s="800"/>
      <c r="Q78" s="800"/>
      <c r="R78" s="800"/>
      <c r="S78" s="679"/>
      <c r="T78" s="167">
        <f>T77-T58-T62-T66-T70-T74</f>
        <v>0</v>
      </c>
      <c r="U78" s="799" t="s">
        <v>124</v>
      </c>
      <c r="V78" s="800"/>
      <c r="W78" s="800"/>
      <c r="X78" s="800"/>
      <c r="Y78" s="679"/>
      <c r="Z78" s="167">
        <f>Z77-Z58-Z62-Z66-Z70-Z74</f>
        <v>0</v>
      </c>
      <c r="AA78" s="799" t="s">
        <v>124</v>
      </c>
      <c r="AB78" s="800"/>
      <c r="AC78" s="800"/>
      <c r="AD78" s="800"/>
      <c r="AE78" s="679"/>
      <c r="AF78" s="167">
        <f>AF77-AF58-AF62-AF66-AF70-AF74</f>
        <v>0</v>
      </c>
      <c r="AG78" s="166">
        <f>H78+N78+T78+Z78+AF78</f>
        <v>0</v>
      </c>
      <c r="AH78" s="218" t="s">
        <v>124</v>
      </c>
      <c r="AI78" s="65"/>
      <c r="AJ78" s="65"/>
      <c r="AK78" s="65"/>
    </row>
    <row r="79" spans="1:93" x14ac:dyDescent="0.2">
      <c r="A79" s="683" t="s">
        <v>125</v>
      </c>
      <c r="B79" s="684"/>
      <c r="C79" s="684"/>
      <c r="D79" s="684"/>
      <c r="E79" s="684"/>
      <c r="F79" s="684"/>
      <c r="G79" s="685"/>
      <c r="H79" s="167">
        <f>SUM(H29,H35,H54,G59,G63,G67,G71,G75)-SUM(H47:H48)</f>
        <v>0</v>
      </c>
      <c r="I79" s="799" t="s">
        <v>126</v>
      </c>
      <c r="J79" s="800"/>
      <c r="K79" s="800"/>
      <c r="L79" s="800"/>
      <c r="M79" s="679"/>
      <c r="N79" s="167">
        <f>SUM(N29,N35,N54,M59,M63,M67,M71,M75)-SUM(N47:N48)</f>
        <v>0</v>
      </c>
      <c r="O79" s="799" t="s">
        <v>126</v>
      </c>
      <c r="P79" s="800"/>
      <c r="Q79" s="800"/>
      <c r="R79" s="800"/>
      <c r="S79" s="679"/>
      <c r="T79" s="167">
        <f>SUM(T29,T35,T54,S59,S63,S67,S71,S75)-SUM(T47:T48)</f>
        <v>0</v>
      </c>
      <c r="U79" s="799" t="s">
        <v>126</v>
      </c>
      <c r="V79" s="800"/>
      <c r="W79" s="800"/>
      <c r="X79" s="800"/>
      <c r="Y79" s="679"/>
      <c r="Z79" s="167">
        <f>SUM(Z29,Z35,Z54,Y59,Y63,Y67,Y71,Y75)-SUM(Z47:Z48)</f>
        <v>0</v>
      </c>
      <c r="AA79" s="799" t="s">
        <v>126</v>
      </c>
      <c r="AB79" s="800"/>
      <c r="AC79" s="800"/>
      <c r="AD79" s="800"/>
      <c r="AE79" s="679"/>
      <c r="AF79" s="167">
        <f>SUM(AF29,AF35,AF54,AE59,AE63,AE67,AE71,AE75)-SUM(AF47:AF48)</f>
        <v>0</v>
      </c>
      <c r="AG79" s="166">
        <f>H79+N79+T79+Z79+AF79</f>
        <v>0</v>
      </c>
      <c r="AH79" s="218" t="s">
        <v>125</v>
      </c>
      <c r="AI79" s="65"/>
      <c r="AJ79" s="65"/>
      <c r="AK79" s="65"/>
    </row>
    <row r="80" spans="1:93" ht="13.5" thickBot="1" x14ac:dyDescent="0.25">
      <c r="A80" s="686" t="s">
        <v>129</v>
      </c>
      <c r="B80" s="687"/>
      <c r="C80" s="687"/>
      <c r="D80" s="687"/>
      <c r="E80" s="687"/>
      <c r="F80" s="687"/>
      <c r="G80" s="688"/>
      <c r="H80" s="168">
        <f>ROUND(H79*$N$9,0)</f>
        <v>0</v>
      </c>
      <c r="I80" s="799" t="s">
        <v>129</v>
      </c>
      <c r="J80" s="800"/>
      <c r="K80" s="800"/>
      <c r="L80" s="800"/>
      <c r="M80" s="679"/>
      <c r="N80" s="168">
        <f>ROUND(N79*$N$9,0)</f>
        <v>0</v>
      </c>
      <c r="O80" s="799" t="s">
        <v>129</v>
      </c>
      <c r="P80" s="800"/>
      <c r="Q80" s="800"/>
      <c r="R80" s="800"/>
      <c r="S80" s="679"/>
      <c r="T80" s="168">
        <f>ROUND(T79*$N$9,0)</f>
        <v>0</v>
      </c>
      <c r="U80" s="799" t="s">
        <v>129</v>
      </c>
      <c r="V80" s="800"/>
      <c r="W80" s="800"/>
      <c r="X80" s="800"/>
      <c r="Y80" s="679"/>
      <c r="Z80" s="168">
        <f>ROUND(Z79*$N$9,0)</f>
        <v>0</v>
      </c>
      <c r="AA80" s="799" t="s">
        <v>129</v>
      </c>
      <c r="AB80" s="800"/>
      <c r="AC80" s="800"/>
      <c r="AD80" s="800"/>
      <c r="AE80" s="679"/>
      <c r="AF80" s="168">
        <f>ROUND(AF79*$N$9,0)</f>
        <v>0</v>
      </c>
      <c r="AG80" s="166">
        <f>H80+N80+T80+Z80+AF80</f>
        <v>0</v>
      </c>
      <c r="AH80" s="218" t="s">
        <v>129</v>
      </c>
      <c r="AI80" s="65"/>
      <c r="AJ80" s="65"/>
      <c r="AK80" s="65"/>
    </row>
    <row r="81" spans="1:39" s="10" customFormat="1" ht="13.5" thickBot="1" x14ac:dyDescent="0.25">
      <c r="A81" s="680" t="s">
        <v>130</v>
      </c>
      <c r="B81" s="681"/>
      <c r="C81" s="681"/>
      <c r="D81" s="681"/>
      <c r="E81" s="681"/>
      <c r="F81" s="681"/>
      <c r="G81" s="682"/>
      <c r="H81" s="159">
        <f>H77+H80</f>
        <v>0</v>
      </c>
      <c r="I81" s="802" t="s">
        <v>130</v>
      </c>
      <c r="J81" s="804"/>
      <c r="K81" s="804"/>
      <c r="L81" s="804"/>
      <c r="M81" s="677"/>
      <c r="N81" s="159">
        <f>N77+N80</f>
        <v>0</v>
      </c>
      <c r="O81" s="802" t="s">
        <v>130</v>
      </c>
      <c r="P81" s="804"/>
      <c r="Q81" s="804"/>
      <c r="R81" s="804"/>
      <c r="S81" s="677"/>
      <c r="T81" s="159">
        <f>T77+T80</f>
        <v>0</v>
      </c>
      <c r="U81" s="802" t="s">
        <v>130</v>
      </c>
      <c r="V81" s="804"/>
      <c r="W81" s="804"/>
      <c r="X81" s="804"/>
      <c r="Y81" s="677"/>
      <c r="Z81" s="159">
        <f>Z77+Z80</f>
        <v>0</v>
      </c>
      <c r="AA81" s="802" t="s">
        <v>130</v>
      </c>
      <c r="AB81" s="804"/>
      <c r="AC81" s="804"/>
      <c r="AD81" s="804"/>
      <c r="AE81" s="677"/>
      <c r="AF81" s="159">
        <f>AF77+AF80</f>
        <v>0</v>
      </c>
      <c r="AG81" s="169">
        <f>H81+N81+T81+Z81+AF81</f>
        <v>0</v>
      </c>
      <c r="AH81" s="219" t="s">
        <v>130</v>
      </c>
      <c r="AI81" s="65"/>
      <c r="AJ81" s="65"/>
      <c r="AK81" s="65"/>
      <c r="AL81" s="9"/>
    </row>
    <row r="82" spans="1:39" ht="13.5" thickBot="1" x14ac:dyDescent="0.25">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4"/>
    </row>
    <row r="83" spans="1:39" outlineLevel="1" x14ac:dyDescent="0.2">
      <c r="A83" s="67" t="s">
        <v>131</v>
      </c>
      <c r="B83" s="68"/>
      <c r="C83" s="68"/>
      <c r="D83" s="68"/>
      <c r="E83" s="68"/>
      <c r="F83" s="68"/>
      <c r="G83" s="68"/>
      <c r="H83" s="69" t="s">
        <v>37</v>
      </c>
      <c r="I83" s="69"/>
      <c r="J83" s="69"/>
      <c r="K83" s="69"/>
      <c r="L83" s="69"/>
      <c r="M83" s="69"/>
      <c r="N83" s="69" t="s">
        <v>38</v>
      </c>
      <c r="O83" s="69"/>
      <c r="P83" s="69"/>
      <c r="Q83" s="69"/>
      <c r="R83" s="69"/>
      <c r="S83" s="69"/>
      <c r="T83" s="69" t="s">
        <v>39</v>
      </c>
      <c r="U83" s="69"/>
      <c r="V83" s="69"/>
      <c r="W83" s="69"/>
      <c r="X83" s="69"/>
      <c r="Y83" s="69"/>
      <c r="Z83" s="69" t="s">
        <v>40</v>
      </c>
      <c r="AA83" s="69"/>
      <c r="AB83" s="69"/>
      <c r="AC83" s="69"/>
      <c r="AD83" s="69"/>
      <c r="AE83" s="69"/>
      <c r="AF83" s="87" t="s">
        <v>41</v>
      </c>
      <c r="AG83" s="4"/>
    </row>
    <row r="84" spans="1:39" outlineLevel="1" x14ac:dyDescent="0.2">
      <c r="A84" s="70"/>
      <c r="B84" s="71"/>
      <c r="C84" s="71"/>
      <c r="D84" s="71"/>
      <c r="E84" s="71"/>
      <c r="F84" s="71"/>
      <c r="G84" s="72" t="s">
        <v>132</v>
      </c>
      <c r="H84" s="73">
        <f>H79</f>
        <v>0</v>
      </c>
      <c r="I84" s="71"/>
      <c r="J84" s="71"/>
      <c r="K84" s="71"/>
      <c r="L84" s="71"/>
      <c r="M84" s="72" t="s">
        <v>132</v>
      </c>
      <c r="N84" s="73">
        <f>N79</f>
        <v>0</v>
      </c>
      <c r="O84" s="71"/>
      <c r="P84" s="71"/>
      <c r="Q84" s="71"/>
      <c r="R84" s="71"/>
      <c r="S84" s="72" t="s">
        <v>132</v>
      </c>
      <c r="T84" s="73">
        <f>T79</f>
        <v>0</v>
      </c>
      <c r="U84" s="71"/>
      <c r="V84" s="71"/>
      <c r="W84" s="71"/>
      <c r="X84" s="71"/>
      <c r="Y84" s="72" t="s">
        <v>132</v>
      </c>
      <c r="Z84" s="73">
        <f>Z79</f>
        <v>0</v>
      </c>
      <c r="AA84" s="71"/>
      <c r="AB84" s="71"/>
      <c r="AC84" s="71"/>
      <c r="AD84" s="71"/>
      <c r="AE84" s="72" t="s">
        <v>132</v>
      </c>
      <c r="AF84" s="88">
        <f>AF79</f>
        <v>0</v>
      </c>
      <c r="AG84" s="4"/>
    </row>
    <row r="85" spans="1:39" outlineLevel="1" x14ac:dyDescent="0.2">
      <c r="A85" s="70"/>
      <c r="B85" s="71"/>
      <c r="C85" s="71"/>
      <c r="D85" s="71"/>
      <c r="E85" s="71"/>
      <c r="F85" s="71"/>
      <c r="G85" s="72" t="s">
        <v>133</v>
      </c>
      <c r="H85" s="73">
        <f>H32</f>
        <v>0</v>
      </c>
      <c r="I85" s="71"/>
      <c r="J85" s="71"/>
      <c r="K85" s="71"/>
      <c r="L85" s="71"/>
      <c r="M85" s="72" t="s">
        <v>133</v>
      </c>
      <c r="N85" s="73">
        <f>N32</f>
        <v>0</v>
      </c>
      <c r="O85" s="71"/>
      <c r="P85" s="71"/>
      <c r="Q85" s="71"/>
      <c r="R85" s="71"/>
      <c r="S85" s="72" t="s">
        <v>133</v>
      </c>
      <c r="T85" s="73">
        <f>T32</f>
        <v>0</v>
      </c>
      <c r="U85" s="71"/>
      <c r="V85" s="71"/>
      <c r="W85" s="71"/>
      <c r="X85" s="71"/>
      <c r="Y85" s="72" t="s">
        <v>133</v>
      </c>
      <c r="Z85" s="73">
        <f>Z32</f>
        <v>0</v>
      </c>
      <c r="AA85" s="71"/>
      <c r="AB85" s="71"/>
      <c r="AC85" s="71"/>
      <c r="AD85" s="71"/>
      <c r="AE85" s="72" t="s">
        <v>133</v>
      </c>
      <c r="AF85" s="88">
        <f>AF32</f>
        <v>0</v>
      </c>
      <c r="AG85" s="4"/>
      <c r="AH85" s="74"/>
    </row>
    <row r="86" spans="1:39" outlineLevel="1" x14ac:dyDescent="0.2">
      <c r="A86" s="70"/>
      <c r="B86" s="71"/>
      <c r="C86" s="71"/>
      <c r="D86" s="71"/>
      <c r="E86" s="71"/>
      <c r="F86" s="71"/>
      <c r="G86" s="72" t="s">
        <v>134</v>
      </c>
      <c r="H86" s="73">
        <f>H42</f>
        <v>0</v>
      </c>
      <c r="I86" s="71"/>
      <c r="J86" s="71"/>
      <c r="K86" s="71"/>
      <c r="L86" s="71"/>
      <c r="M86" s="72" t="s">
        <v>134</v>
      </c>
      <c r="N86" s="73">
        <f>N42</f>
        <v>0</v>
      </c>
      <c r="O86" s="71"/>
      <c r="P86" s="71"/>
      <c r="Q86" s="71"/>
      <c r="R86" s="71"/>
      <c r="S86" s="72" t="s">
        <v>134</v>
      </c>
      <c r="T86" s="73">
        <f>T42</f>
        <v>0</v>
      </c>
      <c r="U86" s="71"/>
      <c r="V86" s="71"/>
      <c r="W86" s="71"/>
      <c r="X86" s="71"/>
      <c r="Y86" s="72" t="s">
        <v>134</v>
      </c>
      <c r="Z86" s="73">
        <f>Z42</f>
        <v>0</v>
      </c>
      <c r="AA86" s="71"/>
      <c r="AB86" s="71"/>
      <c r="AC86" s="71"/>
      <c r="AD86" s="71"/>
      <c r="AE86" s="72" t="s">
        <v>134</v>
      </c>
      <c r="AF86" s="88">
        <f>AF42</f>
        <v>0</v>
      </c>
      <c r="AG86" s="4"/>
      <c r="AH86" s="74"/>
    </row>
    <row r="87" spans="1:39" outlineLevel="1" x14ac:dyDescent="0.2">
      <c r="A87" s="70"/>
      <c r="B87" s="71"/>
      <c r="C87" s="71"/>
      <c r="D87" s="71"/>
      <c r="E87" s="71"/>
      <c r="F87" s="71"/>
      <c r="G87" s="72" t="s">
        <v>135</v>
      </c>
      <c r="H87" s="73">
        <f>H47</f>
        <v>0</v>
      </c>
      <c r="I87" s="71"/>
      <c r="J87" s="71"/>
      <c r="K87" s="71"/>
      <c r="L87" s="71"/>
      <c r="M87" s="72" t="s">
        <v>135</v>
      </c>
      <c r="N87" s="73">
        <f>N47</f>
        <v>0</v>
      </c>
      <c r="O87" s="71"/>
      <c r="P87" s="71"/>
      <c r="Q87" s="71"/>
      <c r="R87" s="71"/>
      <c r="S87" s="72" t="s">
        <v>135</v>
      </c>
      <c r="T87" s="73">
        <f>T47</f>
        <v>0</v>
      </c>
      <c r="U87" s="71"/>
      <c r="V87" s="71"/>
      <c r="W87" s="71"/>
      <c r="X87" s="71"/>
      <c r="Y87" s="72" t="s">
        <v>135</v>
      </c>
      <c r="Z87" s="73">
        <f>Z47</f>
        <v>0</v>
      </c>
      <c r="AA87" s="71"/>
      <c r="AB87" s="71"/>
      <c r="AC87" s="71"/>
      <c r="AD87" s="71"/>
      <c r="AE87" s="72" t="s">
        <v>135</v>
      </c>
      <c r="AF87" s="88">
        <f>AF47</f>
        <v>0</v>
      </c>
      <c r="AG87" s="4"/>
      <c r="AH87" s="74"/>
    </row>
    <row r="88" spans="1:39" ht="13.5" outlineLevel="1" thickBot="1" x14ac:dyDescent="0.25">
      <c r="A88" s="75"/>
      <c r="B88" s="76"/>
      <c r="C88" s="76"/>
      <c r="D88" s="76"/>
      <c r="E88" s="76"/>
      <c r="F88" s="76"/>
      <c r="G88" s="77" t="s">
        <v>136</v>
      </c>
      <c r="H88" s="78">
        <f>(SUM(H59,H63,H67,H75))-(SUM(G59,G63,G67,G75))</f>
        <v>0</v>
      </c>
      <c r="I88" s="76"/>
      <c r="J88" s="76"/>
      <c r="K88" s="76"/>
      <c r="L88" s="76"/>
      <c r="M88" s="77" t="s">
        <v>136</v>
      </c>
      <c r="N88" s="78">
        <f>(SUM(N59,N63,N67,N75))-(SUM(M59,M63,M67,M75))</f>
        <v>0</v>
      </c>
      <c r="O88" s="76"/>
      <c r="P88" s="76"/>
      <c r="Q88" s="76"/>
      <c r="R88" s="76"/>
      <c r="S88" s="77" t="s">
        <v>136</v>
      </c>
      <c r="T88" s="78">
        <f>(SUM(T59,T63,T67,T75))-(SUM(S59,S63,S67,S75))</f>
        <v>0</v>
      </c>
      <c r="U88" s="76"/>
      <c r="V88" s="76"/>
      <c r="W88" s="76"/>
      <c r="X88" s="76"/>
      <c r="Y88" s="77" t="s">
        <v>136</v>
      </c>
      <c r="Z88" s="78">
        <f>(SUM(Z59,Z63,Z67,Z75))-(SUM(Y59,Y63,Y67,Y75))</f>
        <v>0</v>
      </c>
      <c r="AA88" s="76"/>
      <c r="AB88" s="76"/>
      <c r="AC88" s="76"/>
      <c r="AD88" s="76"/>
      <c r="AE88" s="77" t="s">
        <v>136</v>
      </c>
      <c r="AF88" s="89">
        <f>(SUM(AF59,AF63,AF67,AF75))-(SUM(AE59,AE63,AE67,AE75))</f>
        <v>0</v>
      </c>
      <c r="AG88" s="4"/>
    </row>
    <row r="89" spans="1:39" x14ac:dyDescent="0.2">
      <c r="Y89" s="79"/>
      <c r="AG89" s="4"/>
    </row>
    <row r="90" spans="1:39" x14ac:dyDescent="0.2">
      <c r="AG90" s="4"/>
    </row>
    <row r="91" spans="1:39" outlineLevel="1" x14ac:dyDescent="0.2">
      <c r="A91" s="664" t="s">
        <v>194</v>
      </c>
      <c r="Y91" s="80"/>
      <c r="AG91" s="4"/>
      <c r="AH91" s="74"/>
    </row>
    <row r="92" spans="1:39" ht="13.5" outlineLevel="1" thickBot="1" x14ac:dyDescent="0.25">
      <c r="A92" s="716" t="s">
        <v>36</v>
      </c>
      <c r="B92" s="444"/>
      <c r="C92" s="695" t="s">
        <v>37</v>
      </c>
      <c r="D92" s="777"/>
      <c r="E92" s="777"/>
      <c r="F92" s="777"/>
      <c r="G92" s="777"/>
      <c r="H92" s="777"/>
      <c r="I92" s="695" t="s">
        <v>38</v>
      </c>
      <c r="J92" s="777"/>
      <c r="K92" s="777"/>
      <c r="L92" s="777"/>
      <c r="M92" s="777"/>
      <c r="N92" s="777"/>
      <c r="O92" s="695" t="s">
        <v>39</v>
      </c>
      <c r="P92" s="777"/>
      <c r="Q92" s="777"/>
      <c r="R92" s="777"/>
      <c r="S92" s="777"/>
      <c r="T92" s="777"/>
      <c r="U92" s="695" t="s">
        <v>40</v>
      </c>
      <c r="V92" s="777"/>
      <c r="W92" s="777"/>
      <c r="X92" s="777"/>
      <c r="Y92" s="777"/>
      <c r="Z92" s="777"/>
      <c r="AA92" s="695" t="s">
        <v>41</v>
      </c>
      <c r="AB92" s="777"/>
      <c r="AC92" s="777"/>
      <c r="AD92" s="777"/>
      <c r="AE92" s="777"/>
      <c r="AF92" s="777"/>
      <c r="AG92" s="354"/>
      <c r="AH92" s="200"/>
    </row>
    <row r="93" spans="1:39" ht="15.75" customHeight="1" outlineLevel="1" x14ac:dyDescent="0.2">
      <c r="A93" s="716"/>
      <c r="B93" s="717" t="s">
        <v>188</v>
      </c>
      <c r="C93" s="719" t="s">
        <v>42</v>
      </c>
      <c r="D93" s="704" t="s">
        <v>43</v>
      </c>
      <c r="E93" s="813" t="s">
        <v>189</v>
      </c>
      <c r="F93" s="704" t="s">
        <v>195</v>
      </c>
      <c r="G93" s="704" t="s">
        <v>196</v>
      </c>
      <c r="H93" s="721" t="s">
        <v>197</v>
      </c>
      <c r="I93" s="719" t="s">
        <v>42</v>
      </c>
      <c r="J93" s="704" t="s">
        <v>43</v>
      </c>
      <c r="K93" s="813" t="s">
        <v>190</v>
      </c>
      <c r="L93" s="704" t="s">
        <v>195</v>
      </c>
      <c r="M93" s="704" t="s">
        <v>196</v>
      </c>
      <c r="N93" s="721" t="s">
        <v>197</v>
      </c>
      <c r="O93" s="719" t="s">
        <v>42</v>
      </c>
      <c r="P93" s="704" t="s">
        <v>43</v>
      </c>
      <c r="Q93" s="813" t="s">
        <v>191</v>
      </c>
      <c r="R93" s="704" t="s">
        <v>195</v>
      </c>
      <c r="S93" s="704" t="s">
        <v>196</v>
      </c>
      <c r="T93" s="721" t="s">
        <v>197</v>
      </c>
      <c r="U93" s="719" t="s">
        <v>42</v>
      </c>
      <c r="V93" s="704" t="s">
        <v>43</v>
      </c>
      <c r="W93" s="813" t="s">
        <v>192</v>
      </c>
      <c r="X93" s="704" t="s">
        <v>195</v>
      </c>
      <c r="Y93" s="704" t="s">
        <v>196</v>
      </c>
      <c r="Z93" s="721" t="s">
        <v>197</v>
      </c>
      <c r="AA93" s="825" t="s">
        <v>42</v>
      </c>
      <c r="AB93" s="823" t="s">
        <v>43</v>
      </c>
      <c r="AC93" s="813" t="s">
        <v>193</v>
      </c>
      <c r="AD93" s="704" t="s">
        <v>195</v>
      </c>
      <c r="AE93" s="704" t="s">
        <v>196</v>
      </c>
      <c r="AF93" s="721" t="s">
        <v>197</v>
      </c>
      <c r="AG93" s="700" t="s">
        <v>47</v>
      </c>
      <c r="AH93" s="204"/>
      <c r="AK93" s="4"/>
      <c r="AL93" s="4"/>
      <c r="AM93" s="4"/>
    </row>
    <row r="94" spans="1:39" s="11" customFormat="1" outlineLevel="1" x14ac:dyDescent="0.2">
      <c r="A94" s="443" t="s">
        <v>48</v>
      </c>
      <c r="B94" s="718"/>
      <c r="C94" s="720"/>
      <c r="D94" s="705"/>
      <c r="E94" s="814"/>
      <c r="F94" s="705"/>
      <c r="G94" s="705"/>
      <c r="H94" s="722"/>
      <c r="I94" s="837"/>
      <c r="J94" s="705"/>
      <c r="K94" s="814"/>
      <c r="L94" s="705"/>
      <c r="M94" s="705"/>
      <c r="N94" s="722"/>
      <c r="O94" s="837"/>
      <c r="P94" s="705"/>
      <c r="Q94" s="814"/>
      <c r="R94" s="705"/>
      <c r="S94" s="705"/>
      <c r="T94" s="722"/>
      <c r="U94" s="837"/>
      <c r="V94" s="705"/>
      <c r="W94" s="814"/>
      <c r="X94" s="705"/>
      <c r="Y94" s="705"/>
      <c r="Z94" s="722"/>
      <c r="AA94" s="826"/>
      <c r="AB94" s="824"/>
      <c r="AC94" s="814"/>
      <c r="AD94" s="705"/>
      <c r="AE94" s="705"/>
      <c r="AF94" s="722"/>
      <c r="AG94" s="701"/>
      <c r="AH94" s="205"/>
    </row>
    <row r="95" spans="1:39" s="3" customFormat="1" outlineLevel="1" x14ac:dyDescent="0.2">
      <c r="A95" s="442" t="s">
        <v>49</v>
      </c>
      <c r="B95" s="718"/>
      <c r="C95" s="720"/>
      <c r="D95" s="705"/>
      <c r="E95" s="814"/>
      <c r="F95" s="705"/>
      <c r="G95" s="705"/>
      <c r="H95" s="722"/>
      <c r="I95" s="837"/>
      <c r="J95" s="705"/>
      <c r="K95" s="814"/>
      <c r="L95" s="705"/>
      <c r="M95" s="705"/>
      <c r="N95" s="722"/>
      <c r="O95" s="837"/>
      <c r="P95" s="705"/>
      <c r="Q95" s="814"/>
      <c r="R95" s="705"/>
      <c r="S95" s="705"/>
      <c r="T95" s="722"/>
      <c r="U95" s="837"/>
      <c r="V95" s="705"/>
      <c r="W95" s="814"/>
      <c r="X95" s="705"/>
      <c r="Y95" s="705"/>
      <c r="Z95" s="722"/>
      <c r="AA95" s="826"/>
      <c r="AB95" s="824"/>
      <c r="AC95" s="814"/>
      <c r="AD95" s="705"/>
      <c r="AE95" s="705"/>
      <c r="AF95" s="722"/>
      <c r="AG95" s="701"/>
      <c r="AH95" s="202" t="s">
        <v>50</v>
      </c>
      <c r="AI95" s="4"/>
      <c r="AJ95" s="4"/>
      <c r="AK95" s="1"/>
      <c r="AL95" s="2"/>
    </row>
    <row r="96" spans="1:39" s="3" customFormat="1" outlineLevel="1" x14ac:dyDescent="0.2">
      <c r="A96" s="111" t="s">
        <v>51</v>
      </c>
      <c r="B96" s="130">
        <f>B18</f>
        <v>0</v>
      </c>
      <c r="C96" s="131">
        <f>C18</f>
        <v>0</v>
      </c>
      <c r="D96" s="642">
        <f>9*C96</f>
        <v>0</v>
      </c>
      <c r="E96" s="638">
        <f>B96*(1+$H$13)</f>
        <v>0</v>
      </c>
      <c r="F96" s="175">
        <f>IF(E96&gt;($N$2*9),((C96*E96)-F18),0)</f>
        <v>0</v>
      </c>
      <c r="G96" s="175">
        <f>ROUND(F96*$N$5,0)</f>
        <v>0</v>
      </c>
      <c r="H96" s="176">
        <f t="shared" ref="H96:H100" si="30">ROUND(SUM(F96:G96),0)</f>
        <v>0</v>
      </c>
      <c r="I96" s="131">
        <f>I18</f>
        <v>0</v>
      </c>
      <c r="J96" s="642">
        <f>9*I96</f>
        <v>0</v>
      </c>
      <c r="K96" s="638">
        <f>IF($B$10&gt;1,B96*(1+$H$13)*(1+$N$13),0)</f>
        <v>0</v>
      </c>
      <c r="L96" s="175">
        <f>IF(K96&gt;($N$2*9),((I96*K96)-L18),0)</f>
        <v>0</v>
      </c>
      <c r="M96" s="175">
        <f>ROUND(L96*$N$5,0)</f>
        <v>0</v>
      </c>
      <c r="N96" s="176">
        <f t="shared" ref="N96" si="31">ROUND(SUM(L96:M96),0)</f>
        <v>0</v>
      </c>
      <c r="O96" s="131">
        <f>O18</f>
        <v>0</v>
      </c>
      <c r="P96" s="642">
        <f>9*O96</f>
        <v>0</v>
      </c>
      <c r="Q96" s="638">
        <f>IF($B$10&gt;2,B96*(1+$H$13)*(1+$N$13)*(1+$T$13),0)</f>
        <v>0</v>
      </c>
      <c r="R96" s="175">
        <f>IF(Q96&gt;($N$2*9),((O96*Q96)-R18),0)</f>
        <v>0</v>
      </c>
      <c r="S96" s="175">
        <f>ROUND(R96*$N$5,0)</f>
        <v>0</v>
      </c>
      <c r="T96" s="176">
        <f t="shared" ref="T96:T100" si="32">ROUND(SUM(R96:S96),0)</f>
        <v>0</v>
      </c>
      <c r="U96" s="131">
        <f>U18</f>
        <v>0</v>
      </c>
      <c r="V96" s="642">
        <f>9*U96</f>
        <v>0</v>
      </c>
      <c r="W96" s="638">
        <f>IF($B$10&gt;3,B96*(1+$H$13)*(1+$N$13)*(1+$T$13)*(1+$Z$13),0)</f>
        <v>0</v>
      </c>
      <c r="X96" s="175">
        <f>IF(W96&gt;($N$2*9),((U96*W96)-X18),0)</f>
        <v>0</v>
      </c>
      <c r="Y96" s="175">
        <f>ROUND(X96*$N$5,0)</f>
        <v>0</v>
      </c>
      <c r="Z96" s="176">
        <f t="shared" ref="Z96:Z100" si="33">ROUND(SUM(X96:Y96),0)</f>
        <v>0</v>
      </c>
      <c r="AA96" s="131">
        <f>AA18</f>
        <v>0</v>
      </c>
      <c r="AB96" s="642">
        <f>9*AA96</f>
        <v>0</v>
      </c>
      <c r="AC96" s="638">
        <f>IF($B$10&gt;4,B96*(1+$H$13)*(1+$N$13)*(1+$T$13)*(1+$Z$13)*(1+$AF$13),0)</f>
        <v>0</v>
      </c>
      <c r="AD96" s="175">
        <f>IF(AC96&gt;($N$2*9),((AA96*AC96)-AD18),0)</f>
        <v>0</v>
      </c>
      <c r="AE96" s="175">
        <f>ROUND(AD96*$N$5,0)</f>
        <v>0</v>
      </c>
      <c r="AF96" s="176">
        <f t="shared" ref="AF96:AF100" si="34">ROUND(SUM(AD96:AE96),0)</f>
        <v>0</v>
      </c>
      <c r="AG96" s="145">
        <f t="shared" ref="AG96:AG98" si="35">ROUND(SUM(H96,N96,T96,Z96,AF96),0)</f>
        <v>0</v>
      </c>
      <c r="AH96" s="206" t="s">
        <v>51</v>
      </c>
      <c r="AI96" s="4"/>
      <c r="AJ96" s="4"/>
      <c r="AK96" s="1"/>
      <c r="AL96" s="2"/>
    </row>
    <row r="97" spans="1:38" s="3" customFormat="1" outlineLevel="1" x14ac:dyDescent="0.2">
      <c r="A97" s="113" t="s">
        <v>52</v>
      </c>
      <c r="B97" s="666">
        <f t="shared" ref="B97:C97" si="36">B19</f>
        <v>0</v>
      </c>
      <c r="C97" s="131">
        <f t="shared" si="36"/>
        <v>0</v>
      </c>
      <c r="D97" s="642">
        <f>3*C97</f>
        <v>0</v>
      </c>
      <c r="E97" s="638">
        <f>B97*(1+$H$13)</f>
        <v>0</v>
      </c>
      <c r="F97" s="175">
        <f>IF(E97&gt;($N$2*3),((C97*E97)-F19),0)</f>
        <v>0</v>
      </c>
      <c r="G97" s="175">
        <f>ROUND(F97*$N$8,0)</f>
        <v>0</v>
      </c>
      <c r="H97" s="176">
        <f t="shared" si="30"/>
        <v>0</v>
      </c>
      <c r="I97" s="131">
        <f t="shared" ref="I97:I100" si="37">I19</f>
        <v>0</v>
      </c>
      <c r="J97" s="642">
        <f>3*I97</f>
        <v>0</v>
      </c>
      <c r="K97" s="638">
        <f t="shared" ref="K97:K100" si="38">IF($B$10&gt;1,B97*(1+$H$13)*(1+$N$13),0)</f>
        <v>0</v>
      </c>
      <c r="L97" s="175">
        <f>IF(K97&gt;($N$2*3),((I97*K97)-L19),0)</f>
        <v>0</v>
      </c>
      <c r="M97" s="175">
        <f>ROUND(L97*$N$8,0)</f>
        <v>0</v>
      </c>
      <c r="N97" s="176">
        <f>ROUND(SUM(L97:M97),0)</f>
        <v>0</v>
      </c>
      <c r="O97" s="131">
        <f t="shared" ref="O97:O100" si="39">O19</f>
        <v>0</v>
      </c>
      <c r="P97" s="642">
        <f>3*O97</f>
        <v>0</v>
      </c>
      <c r="Q97" s="638">
        <f t="shared" ref="Q97:Q100" si="40">IF($B$10&gt;2,B97*(1+$H$13)*(1+$N$13)*(1+$T$13),0)</f>
        <v>0</v>
      </c>
      <c r="R97" s="175">
        <f>IF(Q97&gt;($N$2*3),((O97*Q97)-R19),0)</f>
        <v>0</v>
      </c>
      <c r="S97" s="175">
        <f>ROUND(R97*$N$8,0)</f>
        <v>0</v>
      </c>
      <c r="T97" s="176">
        <f t="shared" si="32"/>
        <v>0</v>
      </c>
      <c r="U97" s="131">
        <f t="shared" ref="U97:U100" si="41">U19</f>
        <v>0</v>
      </c>
      <c r="V97" s="642">
        <f>3*U97</f>
        <v>0</v>
      </c>
      <c r="W97" s="638">
        <f t="shared" ref="W97:W100" si="42">IF($B$10&gt;3,B97*(1+$H$13)*(1+$N$13)*(1+$T$13)*(1+$Z$13),0)</f>
        <v>0</v>
      </c>
      <c r="X97" s="175">
        <f>IF(W97&gt;($N$2*3),((U97*W97)-X19),0)</f>
        <v>0</v>
      </c>
      <c r="Y97" s="175">
        <f>ROUND(X97*$N$8,0)</f>
        <v>0</v>
      </c>
      <c r="Z97" s="176">
        <f t="shared" si="33"/>
        <v>0</v>
      </c>
      <c r="AA97" s="131">
        <f t="shared" ref="AA97:AA100" si="43">AA19</f>
        <v>0</v>
      </c>
      <c r="AB97" s="642">
        <f>3*AA97</f>
        <v>0</v>
      </c>
      <c r="AC97" s="638">
        <f t="shared" ref="AC97:AC100" si="44">IF($B$10&gt;4,B97*(1+$H$13)*(1+$N$13)*(1+$T$13)*(1+$Z$13)*(1+$AF$13),0)</f>
        <v>0</v>
      </c>
      <c r="AD97" s="175">
        <f>IF(AC97&gt;($N$2*3),((AA97*AC97)-AD19),0)</f>
        <v>0</v>
      </c>
      <c r="AE97" s="175">
        <f>ROUND(AD97*$N$8,0)</f>
        <v>0</v>
      </c>
      <c r="AF97" s="176">
        <f t="shared" si="34"/>
        <v>0</v>
      </c>
      <c r="AG97" s="145">
        <f t="shared" si="35"/>
        <v>0</v>
      </c>
      <c r="AH97" s="206" t="s">
        <v>52</v>
      </c>
      <c r="AI97" s="4"/>
      <c r="AJ97" s="4"/>
      <c r="AK97" s="1"/>
      <c r="AL97" s="2"/>
    </row>
    <row r="98" spans="1:38" s="3" customFormat="1" outlineLevel="1" x14ac:dyDescent="0.2">
      <c r="A98" s="113" t="s">
        <v>53</v>
      </c>
      <c r="B98" s="130">
        <f t="shared" ref="B98:C98" si="45">B20</f>
        <v>0</v>
      </c>
      <c r="C98" s="131">
        <f t="shared" si="45"/>
        <v>0</v>
      </c>
      <c r="D98" s="642">
        <f>10*C98</f>
        <v>0</v>
      </c>
      <c r="E98" s="638">
        <f>B98*(1+$H$13)</f>
        <v>0</v>
      </c>
      <c r="F98" s="175">
        <f>IF(E98&gt;($N$2*10),((C98*E98)-F20),0)</f>
        <v>0</v>
      </c>
      <c r="G98" s="175">
        <f>ROUND(F98*$N$5,0)</f>
        <v>0</v>
      </c>
      <c r="H98" s="176">
        <f t="shared" si="30"/>
        <v>0</v>
      </c>
      <c r="I98" s="131">
        <f t="shared" si="37"/>
        <v>0</v>
      </c>
      <c r="J98" s="642">
        <f>10*I98</f>
        <v>0</v>
      </c>
      <c r="K98" s="638">
        <f t="shared" si="38"/>
        <v>0</v>
      </c>
      <c r="L98" s="175">
        <f>IF(K98&gt;($N$2*10),((I98*K98)-L20),0)</f>
        <v>0</v>
      </c>
      <c r="M98" s="175">
        <f>ROUND(L98*$N$5,0)</f>
        <v>0</v>
      </c>
      <c r="N98" s="176">
        <f t="shared" ref="N98:N100" si="46">ROUND(SUM(L98:M98),0)</f>
        <v>0</v>
      </c>
      <c r="O98" s="131">
        <f t="shared" si="39"/>
        <v>0</v>
      </c>
      <c r="P98" s="642">
        <f>10*O98</f>
        <v>0</v>
      </c>
      <c r="Q98" s="638">
        <f t="shared" si="40"/>
        <v>0</v>
      </c>
      <c r="R98" s="175">
        <f>IF(Q98&gt;($N$2*10),((O98*Q98)-R20),0)</f>
        <v>0</v>
      </c>
      <c r="S98" s="175">
        <f>ROUND(R98*$N$5,0)</f>
        <v>0</v>
      </c>
      <c r="T98" s="176">
        <f t="shared" si="32"/>
        <v>0</v>
      </c>
      <c r="U98" s="131">
        <f t="shared" si="41"/>
        <v>0</v>
      </c>
      <c r="V98" s="642">
        <f>10*U98</f>
        <v>0</v>
      </c>
      <c r="W98" s="638">
        <f t="shared" si="42"/>
        <v>0</v>
      </c>
      <c r="X98" s="175">
        <f>IF(W98&gt;($N$2*10),((U98*W98)-X20),0)</f>
        <v>0</v>
      </c>
      <c r="Y98" s="175">
        <f>ROUND(X98*$N$5,0)</f>
        <v>0</v>
      </c>
      <c r="Z98" s="176">
        <f t="shared" si="33"/>
        <v>0</v>
      </c>
      <c r="AA98" s="131">
        <f t="shared" si="43"/>
        <v>0</v>
      </c>
      <c r="AB98" s="642">
        <f>10*AA98</f>
        <v>0</v>
      </c>
      <c r="AC98" s="638">
        <f t="shared" si="44"/>
        <v>0</v>
      </c>
      <c r="AD98" s="175">
        <f>IF(AC98&gt;($N$2*10),((AA98*AC98)-AD20),0)</f>
        <v>0</v>
      </c>
      <c r="AE98" s="175">
        <f>ROUND(AD98*$N$5,0)</f>
        <v>0</v>
      </c>
      <c r="AF98" s="176">
        <f t="shared" si="34"/>
        <v>0</v>
      </c>
      <c r="AG98" s="145">
        <f t="shared" si="35"/>
        <v>0</v>
      </c>
      <c r="AH98" s="206" t="s">
        <v>53</v>
      </c>
      <c r="AI98" s="4"/>
      <c r="AJ98" s="4"/>
      <c r="AK98" s="1"/>
      <c r="AL98" s="2"/>
    </row>
    <row r="99" spans="1:38" s="3" customFormat="1" outlineLevel="1" x14ac:dyDescent="0.2">
      <c r="A99" s="113" t="s">
        <v>54</v>
      </c>
      <c r="B99" s="666">
        <f t="shared" ref="B99:C99" si="47">B21</f>
        <v>0</v>
      </c>
      <c r="C99" s="131">
        <f t="shared" si="47"/>
        <v>0</v>
      </c>
      <c r="D99" s="642">
        <f>2*C99</f>
        <v>0</v>
      </c>
      <c r="E99" s="638">
        <f t="shared" ref="E99:E100" si="48">B99*(1+$H$13)</f>
        <v>0</v>
      </c>
      <c r="F99" s="175">
        <f>IF(E99&gt;($N$2*2),((C99*E99)-F21),0)</f>
        <v>0</v>
      </c>
      <c r="G99" s="175">
        <f>ROUND(F99*$N$8,0)</f>
        <v>0</v>
      </c>
      <c r="H99" s="176">
        <f t="shared" si="30"/>
        <v>0</v>
      </c>
      <c r="I99" s="131">
        <f t="shared" si="37"/>
        <v>0</v>
      </c>
      <c r="J99" s="642">
        <f>2*I99</f>
        <v>0</v>
      </c>
      <c r="K99" s="638">
        <f t="shared" si="38"/>
        <v>0</v>
      </c>
      <c r="L99" s="175">
        <f>IF(K99&gt;($N$2*2),((I99*K99)-L21),0)</f>
        <v>0</v>
      </c>
      <c r="M99" s="175">
        <f>ROUND(L99*$N$8,0)</f>
        <v>0</v>
      </c>
      <c r="N99" s="176">
        <f t="shared" si="46"/>
        <v>0</v>
      </c>
      <c r="O99" s="131">
        <f t="shared" si="39"/>
        <v>0</v>
      </c>
      <c r="P99" s="642">
        <f>2*O99</f>
        <v>0</v>
      </c>
      <c r="Q99" s="638">
        <f t="shared" si="40"/>
        <v>0</v>
      </c>
      <c r="R99" s="175">
        <f>IF(Q99&gt;($N$2*2),((O99*Q99)-R21),0)</f>
        <v>0</v>
      </c>
      <c r="S99" s="175">
        <f>ROUND(R99*$N$8,0)</f>
        <v>0</v>
      </c>
      <c r="T99" s="176">
        <f t="shared" si="32"/>
        <v>0</v>
      </c>
      <c r="U99" s="131">
        <f t="shared" si="41"/>
        <v>0</v>
      </c>
      <c r="V99" s="642">
        <f>2*U99</f>
        <v>0</v>
      </c>
      <c r="W99" s="638">
        <f t="shared" si="42"/>
        <v>0</v>
      </c>
      <c r="X99" s="175">
        <f>IF(W99&gt;($N$2*2),((U99*W99)-X21),0)</f>
        <v>0</v>
      </c>
      <c r="Y99" s="175">
        <f>ROUND(X99*$N$8,0)</f>
        <v>0</v>
      </c>
      <c r="Z99" s="176">
        <f t="shared" si="33"/>
        <v>0</v>
      </c>
      <c r="AA99" s="131">
        <f t="shared" si="43"/>
        <v>0</v>
      </c>
      <c r="AB99" s="642">
        <f>2*AA99</f>
        <v>0</v>
      </c>
      <c r="AC99" s="638">
        <f t="shared" si="44"/>
        <v>0</v>
      </c>
      <c r="AD99" s="175">
        <f>IF(AC99&gt;($N$2*2),((AA99*AC99)-AD21),0)</f>
        <v>0</v>
      </c>
      <c r="AE99" s="175">
        <f>ROUND(AD99*$N$8,0)</f>
        <v>0</v>
      </c>
      <c r="AF99" s="176">
        <f t="shared" si="34"/>
        <v>0</v>
      </c>
      <c r="AG99" s="145">
        <f>ROUND(SUM(H99,N99,T99,Z99,AF99),0)</f>
        <v>0</v>
      </c>
      <c r="AH99" s="206" t="s">
        <v>54</v>
      </c>
      <c r="AI99" s="4"/>
      <c r="AJ99" s="4"/>
      <c r="AK99" s="1"/>
      <c r="AL99" s="2"/>
    </row>
    <row r="100" spans="1:38" s="3" customFormat="1" outlineLevel="1" x14ac:dyDescent="0.2">
      <c r="A100" s="113" t="s">
        <v>55</v>
      </c>
      <c r="B100" s="130">
        <f t="shared" ref="B100:C100" si="49">B22</f>
        <v>0</v>
      </c>
      <c r="C100" s="131">
        <f t="shared" si="49"/>
        <v>0</v>
      </c>
      <c r="D100" s="642">
        <f>12*C100</f>
        <v>0</v>
      </c>
      <c r="E100" s="638">
        <f t="shared" si="48"/>
        <v>0</v>
      </c>
      <c r="F100" s="175">
        <f>IF(E100&gt;$N$3,((C100*E100)-F22),0)</f>
        <v>0</v>
      </c>
      <c r="G100" s="175">
        <f>ROUND(F100*$N$5,0)</f>
        <v>0</v>
      </c>
      <c r="H100" s="176">
        <f t="shared" si="30"/>
        <v>0</v>
      </c>
      <c r="I100" s="131">
        <f t="shared" si="37"/>
        <v>0</v>
      </c>
      <c r="J100" s="642">
        <f t="shared" ref="J100" si="50">12*I100</f>
        <v>0</v>
      </c>
      <c r="K100" s="638">
        <f t="shared" si="38"/>
        <v>0</v>
      </c>
      <c r="L100" s="175">
        <f>IF(K100&gt;$N$3,((I100*K100)-L22),0)</f>
        <v>0</v>
      </c>
      <c r="M100" s="175">
        <f>ROUND(L100*$N$5,0)</f>
        <v>0</v>
      </c>
      <c r="N100" s="176">
        <f t="shared" si="46"/>
        <v>0</v>
      </c>
      <c r="O100" s="131">
        <f t="shared" si="39"/>
        <v>0</v>
      </c>
      <c r="P100" s="642">
        <f t="shared" ref="P100" si="51">12*O100</f>
        <v>0</v>
      </c>
      <c r="Q100" s="638">
        <f t="shared" si="40"/>
        <v>0</v>
      </c>
      <c r="R100" s="175">
        <f>IF(Q100&gt;$N$3,((O100*Q100)-R22),0)</f>
        <v>0</v>
      </c>
      <c r="S100" s="175">
        <f>ROUND(R100*$N$5,0)</f>
        <v>0</v>
      </c>
      <c r="T100" s="176">
        <f t="shared" si="32"/>
        <v>0</v>
      </c>
      <c r="U100" s="131">
        <f t="shared" si="41"/>
        <v>0</v>
      </c>
      <c r="V100" s="642">
        <f t="shared" ref="V100" si="52">12*U100</f>
        <v>0</v>
      </c>
      <c r="W100" s="638">
        <f t="shared" si="42"/>
        <v>0</v>
      </c>
      <c r="X100" s="175">
        <f>IF(W100&gt;$N$3,((U100*W100)-X22),0)</f>
        <v>0</v>
      </c>
      <c r="Y100" s="175">
        <f>ROUND(X100*$N$5,0)</f>
        <v>0</v>
      </c>
      <c r="Z100" s="176">
        <f t="shared" si="33"/>
        <v>0</v>
      </c>
      <c r="AA100" s="131">
        <f t="shared" si="43"/>
        <v>0</v>
      </c>
      <c r="AB100" s="642">
        <f t="shared" ref="AB100" si="53">12*AA100</f>
        <v>0</v>
      </c>
      <c r="AC100" s="638">
        <f t="shared" si="44"/>
        <v>0</v>
      </c>
      <c r="AD100" s="175">
        <f>IF(AC100&gt;$N$3,((AA100*AC100)-AD22),0)</f>
        <v>0</v>
      </c>
      <c r="AE100" s="175">
        <f>ROUND(AD100*$N$5,0)</f>
        <v>0</v>
      </c>
      <c r="AF100" s="176">
        <f t="shared" si="34"/>
        <v>0</v>
      </c>
      <c r="AG100" s="145">
        <f t="shared" ref="AG100" si="54">ROUND(SUM(H100,N100,T100,Z100,AF100),0)</f>
        <v>0</v>
      </c>
      <c r="AH100" s="206" t="s">
        <v>55</v>
      </c>
      <c r="AI100" s="4"/>
      <c r="AJ100" s="4"/>
      <c r="AK100" s="1"/>
      <c r="AL100" s="2"/>
    </row>
  </sheetData>
  <sheetProtection sheet="1" objects="1" scenarios="1"/>
  <mergeCells count="163">
    <mergeCell ref="AC93:AC95"/>
    <mergeCell ref="AD93:AD95"/>
    <mergeCell ref="AE93:AE95"/>
    <mergeCell ref="AF93:AF95"/>
    <mergeCell ref="AG93:AG95"/>
    <mergeCell ref="T93:T95"/>
    <mergeCell ref="U93:U95"/>
    <mergeCell ref="V93:V95"/>
    <mergeCell ref="W93:W95"/>
    <mergeCell ref="X93:X95"/>
    <mergeCell ref="Y93:Y95"/>
    <mergeCell ref="Z93:Z95"/>
    <mergeCell ref="AA93:AA95"/>
    <mergeCell ref="AB93:AB95"/>
    <mergeCell ref="A92:A93"/>
    <mergeCell ref="C92:H92"/>
    <mergeCell ref="I92:N92"/>
    <mergeCell ref="O92:T92"/>
    <mergeCell ref="U92:Z92"/>
    <mergeCell ref="AA92:AF92"/>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Q93:Q95"/>
    <mergeCell ref="R93:R95"/>
    <mergeCell ref="S93:S95"/>
    <mergeCell ref="AG15:AG17"/>
    <mergeCell ref="A81:G81"/>
    <mergeCell ref="I81:M81"/>
    <mergeCell ref="O81:S81"/>
    <mergeCell ref="U81:Y81"/>
    <mergeCell ref="AA81:AE81"/>
    <mergeCell ref="AA76:AE76"/>
    <mergeCell ref="A77:G77"/>
    <mergeCell ref="I77:M77"/>
    <mergeCell ref="O77:S77"/>
    <mergeCell ref="U77:Y77"/>
    <mergeCell ref="U79:Y79"/>
    <mergeCell ref="AA79:AE79"/>
    <mergeCell ref="A78:G78"/>
    <mergeCell ref="I78:M78"/>
    <mergeCell ref="O78:S78"/>
    <mergeCell ref="U78:Y78"/>
    <mergeCell ref="AA78:AE78"/>
    <mergeCell ref="A79:G79"/>
    <mergeCell ref="I79:M79"/>
    <mergeCell ref="O79:S79"/>
    <mergeCell ref="A80:G80"/>
    <mergeCell ref="I80:M80"/>
    <mergeCell ref="O80:S80"/>
    <mergeCell ref="C71:F71"/>
    <mergeCell ref="I71:L71"/>
    <mergeCell ref="O71:R71"/>
    <mergeCell ref="U71:X71"/>
    <mergeCell ref="AA71:AD71"/>
    <mergeCell ref="U80:Y80"/>
    <mergeCell ref="AA80:AE80"/>
    <mergeCell ref="O75:R75"/>
    <mergeCell ref="U75:X75"/>
    <mergeCell ref="C76:G76"/>
    <mergeCell ref="I76:M76"/>
    <mergeCell ref="O76:S76"/>
    <mergeCell ref="I75:L75"/>
    <mergeCell ref="U76:Y76"/>
    <mergeCell ref="C75:F75"/>
    <mergeCell ref="AA75:AD75"/>
    <mergeCell ref="I63:L63"/>
    <mergeCell ref="U63:X63"/>
    <mergeCell ref="O67:R67"/>
    <mergeCell ref="U67:X67"/>
    <mergeCell ref="AA77:AE77"/>
    <mergeCell ref="I72:M72"/>
    <mergeCell ref="O72:S72"/>
    <mergeCell ref="U72:Y72"/>
    <mergeCell ref="AA72:AE72"/>
    <mergeCell ref="I68:M68"/>
    <mergeCell ref="O68:S68"/>
    <mergeCell ref="U68:Y68"/>
    <mergeCell ref="AA68:AE68"/>
    <mergeCell ref="K15:K17"/>
    <mergeCell ref="E15:E17"/>
    <mergeCell ref="I64:M64"/>
    <mergeCell ref="O64:S64"/>
    <mergeCell ref="U64:Y64"/>
    <mergeCell ref="AA64:AE64"/>
    <mergeCell ref="C67:F67"/>
    <mergeCell ref="I67:L67"/>
    <mergeCell ref="AA67:AD67"/>
    <mergeCell ref="I56:M56"/>
    <mergeCell ref="O56:S56"/>
    <mergeCell ref="U56:Y56"/>
    <mergeCell ref="AA63:AD63"/>
    <mergeCell ref="AA56:AE56"/>
    <mergeCell ref="C59:F59"/>
    <mergeCell ref="I59:L59"/>
    <mergeCell ref="O59:R59"/>
    <mergeCell ref="U59:X59"/>
    <mergeCell ref="AA59:AD59"/>
    <mergeCell ref="I60:M60"/>
    <mergeCell ref="O60:S60"/>
    <mergeCell ref="U60:Y60"/>
    <mergeCell ref="AA60:AE60"/>
    <mergeCell ref="C63:F63"/>
    <mergeCell ref="AA14:AF14"/>
    <mergeCell ref="AE15:AE17"/>
    <mergeCell ref="AF15:AF17"/>
    <mergeCell ref="C14:H14"/>
    <mergeCell ref="O63:R63"/>
    <mergeCell ref="C36:F36"/>
    <mergeCell ref="I36:L36"/>
    <mergeCell ref="O36:R36"/>
    <mergeCell ref="U36:X36"/>
    <mergeCell ref="AA36:AD36"/>
    <mergeCell ref="B43:G43"/>
    <mergeCell ref="C56:G56"/>
    <mergeCell ref="T15:T17"/>
    <mergeCell ref="U15:U17"/>
    <mergeCell ref="V15:V17"/>
    <mergeCell ref="X15:X17"/>
    <mergeCell ref="Y15:Y17"/>
    <mergeCell ref="Z15:Z17"/>
    <mergeCell ref="AA15:AA17"/>
    <mergeCell ref="AB15:AB17"/>
    <mergeCell ref="AD15:AD17"/>
    <mergeCell ref="AC15:AC17"/>
    <mergeCell ref="W15:W17"/>
    <mergeCell ref="Q15:Q17"/>
    <mergeCell ref="I14:N14"/>
    <mergeCell ref="O14:T14"/>
    <mergeCell ref="X13:Y13"/>
    <mergeCell ref="A1:J3"/>
    <mergeCell ref="AD13:AE13"/>
    <mergeCell ref="A14:A15"/>
    <mergeCell ref="B15:B17"/>
    <mergeCell ref="C15:C17"/>
    <mergeCell ref="D15:D17"/>
    <mergeCell ref="F15:F17"/>
    <mergeCell ref="G15:G17"/>
    <mergeCell ref="H15:H17"/>
    <mergeCell ref="I15:I17"/>
    <mergeCell ref="J15:J17"/>
    <mergeCell ref="L15:L17"/>
    <mergeCell ref="M15:M17"/>
    <mergeCell ref="N15:N17"/>
    <mergeCell ref="O15:O17"/>
    <mergeCell ref="P15:P17"/>
    <mergeCell ref="R15:R17"/>
    <mergeCell ref="S15:S17"/>
    <mergeCell ref="L13:M13"/>
    <mergeCell ref="R13:S13"/>
    <mergeCell ref="U14:Z14"/>
  </mergeCells>
  <conditionalFormatting sqref="AJ53">
    <cfRule type="cellIs" dxfId="2" priority="1" operator="lessThan">
      <formula>0.02</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U111"/>
  <sheetViews>
    <sheetView topLeftCell="A10" zoomScaleNormal="100" workbookViewId="0">
      <selection activeCell="D38" sqref="D38"/>
    </sheetView>
  </sheetViews>
  <sheetFormatPr defaultRowHeight="12.75" outlineLevelRow="1" x14ac:dyDescent="0.2"/>
  <cols>
    <col min="1" max="1" width="29" style="4" customWidth="1"/>
    <col min="2" max="2" width="11.140625" style="4" customWidth="1"/>
    <col min="3" max="3" width="9.85546875" style="4" customWidth="1"/>
    <col min="4" max="4" width="8.42578125" style="4" customWidth="1"/>
    <col min="5" max="7" width="10" style="4" customWidth="1"/>
    <col min="8" max="9" width="11.140625" style="4" customWidth="1"/>
    <col min="10" max="10" width="11" style="4" customWidth="1"/>
    <col min="11" max="11" width="9.5703125" style="4" customWidth="1"/>
    <col min="12" max="12" width="10.5703125" style="4" customWidth="1"/>
    <col min="13" max="13" width="14.85546875" style="4" customWidth="1"/>
    <col min="14" max="14" width="24" style="4" customWidth="1"/>
    <col min="15" max="15" width="15" style="4" customWidth="1"/>
    <col min="16" max="16" width="11" style="4" customWidth="1"/>
    <col min="17" max="17" width="11.42578125" style="4" customWidth="1"/>
    <col min="18" max="19" width="9.7109375" style="4" customWidth="1"/>
    <col min="20" max="20" width="11.42578125" style="4" customWidth="1"/>
    <col min="21" max="21" width="11" style="4" customWidth="1"/>
    <col min="22" max="22" width="9.85546875" style="4" customWidth="1"/>
    <col min="23" max="23" width="13" style="4" bestFit="1" customWidth="1"/>
    <col min="24" max="24" width="30.7109375" style="4" customWidth="1"/>
    <col min="25" max="25" width="12.42578125" style="4" customWidth="1"/>
    <col min="26" max="26" width="9.42578125" style="4" bestFit="1" customWidth="1"/>
    <col min="27" max="27" width="9.140625" style="1" customWidth="1"/>
    <col min="28" max="28" width="12.42578125" style="2" bestFit="1" customWidth="1"/>
    <col min="29" max="29" width="10.42578125" style="3" bestFit="1" customWidth="1"/>
    <col min="30" max="16384" width="9.140625" style="4"/>
  </cols>
  <sheetData>
    <row r="1" spans="1:52" ht="18" customHeight="1" x14ac:dyDescent="0.2">
      <c r="A1" s="725" t="s">
        <v>11</v>
      </c>
      <c r="B1" s="726"/>
      <c r="C1" s="726"/>
      <c r="D1" s="726"/>
      <c r="E1" s="726"/>
      <c r="F1" s="726"/>
      <c r="G1" s="726"/>
      <c r="H1" s="726"/>
      <c r="I1" s="727"/>
      <c r="J1" s="770" t="s">
        <v>12</v>
      </c>
      <c r="K1" s="771"/>
      <c r="L1" s="772"/>
      <c r="M1" s="778" t="s">
        <v>137</v>
      </c>
      <c r="N1" s="779"/>
      <c r="O1" s="780"/>
    </row>
    <row r="2" spans="1:52" ht="15" customHeight="1" x14ac:dyDescent="0.2">
      <c r="A2" s="728"/>
      <c r="B2" s="729"/>
      <c r="C2" s="729"/>
      <c r="D2" s="729"/>
      <c r="E2" s="729"/>
      <c r="F2" s="729"/>
      <c r="G2" s="729"/>
      <c r="H2" s="729"/>
      <c r="I2" s="730"/>
      <c r="J2" s="328" t="s">
        <v>13</v>
      </c>
      <c r="K2" s="329"/>
      <c r="L2" s="330">
        <f>L3/12</f>
        <v>18491.666666666668</v>
      </c>
      <c r="M2" s="781"/>
      <c r="N2" s="782"/>
      <c r="O2" s="783"/>
    </row>
    <row r="3" spans="1:52" ht="15.75" customHeight="1" thickBot="1" x14ac:dyDescent="0.25">
      <c r="A3" s="728"/>
      <c r="B3" s="729"/>
      <c r="C3" s="729"/>
      <c r="D3" s="729"/>
      <c r="E3" s="729"/>
      <c r="F3" s="729"/>
      <c r="G3" s="729"/>
      <c r="H3" s="729"/>
      <c r="I3" s="730"/>
      <c r="J3" s="332" t="s">
        <v>14</v>
      </c>
      <c r="K3" s="333"/>
      <c r="L3" s="412">
        <v>221900</v>
      </c>
      <c r="M3" s="781"/>
      <c r="N3" s="782"/>
      <c r="O3" s="783"/>
    </row>
    <row r="4" spans="1:52" s="5" customFormat="1" ht="15" customHeight="1" thickBot="1" x14ac:dyDescent="0.25">
      <c r="A4" s="230" t="s">
        <v>15</v>
      </c>
      <c r="B4" s="100"/>
      <c r="C4" s="101"/>
      <c r="D4" s="102"/>
      <c r="E4" s="102"/>
      <c r="F4" s="102"/>
      <c r="G4" s="102"/>
      <c r="H4" s="101"/>
      <c r="I4" s="101"/>
      <c r="J4" s="734" t="s">
        <v>16</v>
      </c>
      <c r="K4" s="735"/>
      <c r="L4" s="736"/>
      <c r="M4" s="784"/>
      <c r="N4" s="785"/>
      <c r="O4" s="786"/>
      <c r="P4" s="8"/>
      <c r="Q4" s="4"/>
      <c r="R4" s="4"/>
      <c r="S4" s="4"/>
      <c r="T4" s="4"/>
      <c r="U4" s="4"/>
      <c r="V4" s="4"/>
      <c r="W4" s="4"/>
      <c r="X4" s="60"/>
      <c r="Y4" s="60"/>
      <c r="Z4" s="60"/>
      <c r="AA4" s="61"/>
      <c r="AB4" s="1"/>
      <c r="AC4" s="2"/>
      <c r="AD4" s="3"/>
      <c r="AE4" s="4"/>
      <c r="AF4" s="4"/>
      <c r="AG4" s="4"/>
      <c r="AH4" s="4"/>
      <c r="AI4" s="4"/>
      <c r="AJ4" s="4"/>
      <c r="AK4" s="4"/>
      <c r="AL4" s="4"/>
      <c r="AM4" s="4"/>
      <c r="AN4" s="4"/>
      <c r="AO4" s="4"/>
      <c r="AP4" s="4"/>
      <c r="AQ4" s="4"/>
      <c r="AR4" s="4"/>
      <c r="AS4" s="4"/>
      <c r="AT4" s="4"/>
      <c r="AU4" s="4"/>
      <c r="AV4" s="4"/>
      <c r="AW4" s="4"/>
      <c r="AX4" s="4"/>
      <c r="AY4" s="4"/>
      <c r="AZ4" s="4"/>
    </row>
    <row r="5" spans="1:52" s="5" customFormat="1" ht="15" customHeight="1" x14ac:dyDescent="0.2">
      <c r="A5" s="230" t="s">
        <v>17</v>
      </c>
      <c r="B5" s="100"/>
      <c r="C5" s="103"/>
      <c r="D5" s="104"/>
      <c r="E5" s="104"/>
      <c r="F5" s="104"/>
      <c r="G5" s="104"/>
      <c r="H5" s="103"/>
      <c r="I5" s="103"/>
      <c r="J5" s="233" t="s">
        <v>18</v>
      </c>
      <c r="K5" s="234"/>
      <c r="L5" s="235">
        <v>0.28599999999999998</v>
      </c>
      <c r="M5" s="418"/>
      <c r="N5" s="419"/>
      <c r="O5" s="420"/>
      <c r="P5" s="8"/>
      <c r="Q5" s="4"/>
      <c r="R5" s="4"/>
      <c r="S5" s="4"/>
      <c r="T5" s="4"/>
      <c r="U5" s="4"/>
      <c r="V5" s="4"/>
      <c r="W5" s="4"/>
      <c r="X5" s="60"/>
      <c r="Y5" s="60"/>
      <c r="Z5" s="60"/>
      <c r="AA5" s="61"/>
      <c r="AB5" s="1"/>
      <c r="AC5" s="2"/>
      <c r="AD5" s="3"/>
      <c r="AE5" s="4"/>
      <c r="AF5" s="4"/>
      <c r="AG5" s="4"/>
      <c r="AH5" s="4"/>
      <c r="AI5" s="4"/>
      <c r="AJ5" s="4"/>
      <c r="AK5" s="4"/>
      <c r="AL5" s="4"/>
      <c r="AM5" s="4"/>
      <c r="AN5" s="4"/>
      <c r="AO5" s="4"/>
      <c r="AP5" s="4"/>
      <c r="AQ5" s="4"/>
      <c r="AR5" s="4"/>
      <c r="AS5" s="4"/>
      <c r="AT5" s="4"/>
      <c r="AU5" s="4"/>
      <c r="AV5" s="4"/>
      <c r="AW5" s="4"/>
      <c r="AX5" s="4"/>
      <c r="AY5" s="4"/>
      <c r="AZ5" s="4"/>
    </row>
    <row r="6" spans="1:52" s="5" customFormat="1" ht="15" customHeight="1" x14ac:dyDescent="0.2">
      <c r="A6" s="230" t="s">
        <v>19</v>
      </c>
      <c r="B6" s="100"/>
      <c r="C6" s="103"/>
      <c r="D6" s="104"/>
      <c r="E6" s="104"/>
      <c r="F6" s="104"/>
      <c r="G6" s="104"/>
      <c r="H6" s="103"/>
      <c r="I6" s="103"/>
      <c r="J6" s="233" t="s">
        <v>20</v>
      </c>
      <c r="K6" s="234"/>
      <c r="L6" s="235">
        <v>0.22</v>
      </c>
      <c r="M6" s="418"/>
      <c r="N6" s="419"/>
      <c r="O6" s="420"/>
      <c r="P6" s="8"/>
      <c r="Q6" s="4"/>
      <c r="R6" s="4"/>
      <c r="S6" s="4"/>
      <c r="T6" s="4"/>
      <c r="U6" s="4"/>
      <c r="V6" s="4"/>
      <c r="W6" s="4"/>
      <c r="X6" s="60"/>
      <c r="Y6" s="60"/>
      <c r="Z6" s="60"/>
      <c r="AA6" s="61"/>
      <c r="AB6" s="1"/>
      <c r="AC6" s="2"/>
      <c r="AD6" s="3"/>
      <c r="AE6" s="4"/>
      <c r="AF6" s="4"/>
      <c r="AG6" s="4"/>
      <c r="AH6" s="4"/>
      <c r="AI6" s="4"/>
      <c r="AJ6" s="4"/>
      <c r="AK6" s="4"/>
      <c r="AL6" s="4"/>
      <c r="AM6" s="4"/>
      <c r="AN6" s="4"/>
      <c r="AO6" s="4"/>
      <c r="AP6" s="4"/>
      <c r="AQ6" s="4"/>
      <c r="AR6" s="4"/>
      <c r="AS6" s="4"/>
      <c r="AT6" s="4"/>
      <c r="AU6" s="4"/>
      <c r="AV6" s="4"/>
      <c r="AW6" s="4"/>
      <c r="AX6" s="4"/>
      <c r="AY6" s="4"/>
      <c r="AZ6" s="4"/>
    </row>
    <row r="7" spans="1:52" s="5" customFormat="1" ht="15" customHeight="1" x14ac:dyDescent="0.2">
      <c r="A7" s="239" t="s">
        <v>21</v>
      </c>
      <c r="B7" s="105"/>
      <c r="C7" s="103"/>
      <c r="D7" s="104"/>
      <c r="E7" s="104"/>
      <c r="F7" s="104"/>
      <c r="G7" s="104"/>
      <c r="H7" s="103"/>
      <c r="I7" s="103"/>
      <c r="J7" s="233" t="s">
        <v>22</v>
      </c>
      <c r="K7" s="234"/>
      <c r="L7" s="235">
        <v>0.05</v>
      </c>
      <c r="M7" s="418"/>
      <c r="N7" s="419"/>
      <c r="O7" s="420"/>
      <c r="P7" s="8"/>
      <c r="Q7" s="4"/>
      <c r="R7" s="4"/>
      <c r="S7" s="4"/>
      <c r="T7" s="4"/>
      <c r="U7" s="4"/>
      <c r="V7" s="4"/>
      <c r="W7" s="4"/>
      <c r="X7" s="60"/>
      <c r="Y7" s="60"/>
      <c r="Z7" s="60"/>
      <c r="AA7" s="61"/>
      <c r="AB7" s="1"/>
      <c r="AC7" s="2"/>
      <c r="AD7" s="3"/>
      <c r="AE7" s="4"/>
      <c r="AF7" s="4"/>
      <c r="AG7" s="4"/>
      <c r="AH7" s="4"/>
      <c r="AI7" s="4"/>
      <c r="AJ7" s="4"/>
      <c r="AK7" s="4"/>
      <c r="AL7" s="4"/>
      <c r="AM7" s="4"/>
      <c r="AN7" s="4"/>
      <c r="AO7" s="4"/>
      <c r="AP7" s="4"/>
      <c r="AQ7" s="4"/>
      <c r="AR7" s="4"/>
      <c r="AS7" s="4"/>
      <c r="AT7" s="4"/>
      <c r="AU7" s="4"/>
      <c r="AV7" s="4"/>
      <c r="AW7" s="4"/>
      <c r="AX7" s="4"/>
      <c r="AY7" s="4"/>
      <c r="AZ7" s="4"/>
    </row>
    <row r="8" spans="1:52" s="5" customFormat="1" ht="17.25" customHeight="1" thickBot="1" x14ac:dyDescent="0.25">
      <c r="A8" s="230" t="s">
        <v>23</v>
      </c>
      <c r="B8" s="105"/>
      <c r="C8" s="103"/>
      <c r="D8" s="104"/>
      <c r="E8" s="104"/>
      <c r="F8" s="104"/>
      <c r="G8" s="104"/>
      <c r="H8" s="103"/>
      <c r="I8" s="103"/>
      <c r="J8" s="243" t="s">
        <v>24</v>
      </c>
      <c r="K8" s="244"/>
      <c r="L8" s="311">
        <v>0.11</v>
      </c>
      <c r="M8" s="418"/>
      <c r="N8" s="419"/>
      <c r="O8" s="420"/>
      <c r="P8" s="8"/>
      <c r="Q8" s="4"/>
      <c r="R8" s="4"/>
      <c r="S8" s="4"/>
      <c r="T8" s="4"/>
      <c r="U8" s="4"/>
      <c r="V8" s="4"/>
      <c r="W8" s="4"/>
      <c r="X8" s="60"/>
      <c r="Y8" s="60"/>
      <c r="Z8" s="60"/>
      <c r="AA8" s="61"/>
      <c r="AB8" s="1"/>
      <c r="AC8" s="2"/>
      <c r="AD8" s="3"/>
      <c r="AE8" s="4"/>
      <c r="AF8" s="4"/>
      <c r="AG8" s="4"/>
      <c r="AH8" s="4"/>
      <c r="AI8" s="4"/>
      <c r="AJ8" s="4"/>
      <c r="AK8" s="4"/>
      <c r="AL8" s="4"/>
      <c r="AM8" s="4"/>
      <c r="AN8" s="4"/>
      <c r="AO8" s="4"/>
      <c r="AP8" s="4"/>
      <c r="AQ8" s="4"/>
      <c r="AR8" s="4"/>
      <c r="AS8" s="4"/>
      <c r="AT8" s="4"/>
      <c r="AU8" s="4"/>
      <c r="AV8" s="4"/>
      <c r="AW8" s="4"/>
      <c r="AX8" s="4"/>
      <c r="AY8" s="4"/>
      <c r="AZ8" s="4"/>
    </row>
    <row r="9" spans="1:52" s="6" customFormat="1" ht="15" customHeight="1" thickBot="1" x14ac:dyDescent="0.25">
      <c r="A9" s="230" t="s">
        <v>25</v>
      </c>
      <c r="B9" s="106"/>
      <c r="C9" s="103"/>
      <c r="D9" s="103"/>
      <c r="E9" s="103"/>
      <c r="F9" s="104"/>
      <c r="G9" s="104"/>
      <c r="H9" s="103"/>
      <c r="I9" s="103"/>
      <c r="J9" s="596" t="s">
        <v>26</v>
      </c>
      <c r="K9" s="660"/>
      <c r="L9" s="413">
        <v>0.38500000000000001</v>
      </c>
      <c r="M9" s="418"/>
      <c r="N9" s="419"/>
      <c r="O9" s="420"/>
      <c r="P9" s="8"/>
      <c r="Q9" s="4"/>
      <c r="R9" s="4"/>
      <c r="S9" s="4"/>
      <c r="T9" s="4"/>
      <c r="U9" s="4"/>
      <c r="V9" s="4"/>
      <c r="W9" s="4"/>
      <c r="X9" s="7"/>
      <c r="Y9" s="7"/>
      <c r="Z9" s="7"/>
      <c r="AA9" s="8"/>
      <c r="AB9" s="9"/>
      <c r="AC9" s="10"/>
      <c r="AD9" s="7"/>
      <c r="AE9" s="7"/>
      <c r="AF9" s="7"/>
      <c r="AG9" s="7"/>
      <c r="AH9" s="7"/>
      <c r="AI9" s="7"/>
      <c r="AJ9" s="7"/>
      <c r="AK9" s="7"/>
      <c r="AL9" s="7"/>
      <c r="AM9" s="7"/>
      <c r="AN9" s="7"/>
      <c r="AO9" s="7"/>
      <c r="AP9" s="7"/>
      <c r="AQ9" s="7"/>
      <c r="AR9" s="7"/>
      <c r="AS9" s="7"/>
      <c r="AT9" s="7"/>
      <c r="AU9" s="7"/>
      <c r="AV9" s="7"/>
      <c r="AW9" s="7"/>
      <c r="AX9" s="7"/>
      <c r="AY9" s="7"/>
      <c r="AZ9" s="7"/>
    </row>
    <row r="10" spans="1:52" ht="13.5" thickBot="1" x14ac:dyDescent="0.25">
      <c r="A10" s="249" t="s">
        <v>27</v>
      </c>
      <c r="B10" s="107"/>
      <c r="C10" s="739"/>
      <c r="D10" s="740"/>
      <c r="E10" s="740"/>
      <c r="F10" s="740"/>
      <c r="G10" s="740"/>
      <c r="H10" s="225"/>
      <c r="I10" s="225"/>
      <c r="J10" s="241" t="s">
        <v>199</v>
      </c>
      <c r="K10" s="225"/>
      <c r="L10" s="225"/>
      <c r="M10" s="241"/>
      <c r="N10" s="241"/>
      <c r="O10" s="389"/>
      <c r="P10" s="98"/>
      <c r="Q10" s="98"/>
      <c r="R10" s="98"/>
      <c r="S10" s="98"/>
      <c r="T10" s="98"/>
    </row>
    <row r="11" spans="1:52" x14ac:dyDescent="0.2">
      <c r="A11" s="251" t="s">
        <v>28</v>
      </c>
      <c r="B11" s="108"/>
      <c r="C11" s="252"/>
      <c r="D11" s="225"/>
      <c r="E11" s="225"/>
      <c r="F11" s="224"/>
      <c r="G11" s="224"/>
      <c r="H11" s="224"/>
      <c r="I11" s="224"/>
      <c r="J11" s="224"/>
      <c r="K11" s="224"/>
      <c r="L11" s="224"/>
      <c r="M11" s="224"/>
      <c r="N11" s="224"/>
      <c r="O11" s="200"/>
    </row>
    <row r="12" spans="1:52" x14ac:dyDescent="0.2">
      <c r="A12" s="743" t="s">
        <v>29</v>
      </c>
      <c r="B12" s="794"/>
      <c r="C12" s="109"/>
      <c r="D12" s="224"/>
      <c r="E12" s="224"/>
      <c r="F12" s="253" t="s">
        <v>30</v>
      </c>
      <c r="G12" s="109"/>
      <c r="H12" s="224"/>
      <c r="I12" s="224"/>
      <c r="J12" s="224"/>
      <c r="K12" s="224"/>
      <c r="L12" s="224"/>
      <c r="M12" s="224"/>
      <c r="N12" s="224"/>
      <c r="O12" s="200"/>
    </row>
    <row r="13" spans="1:52" x14ac:dyDescent="0.2">
      <c r="A13" s="745" t="s">
        <v>31</v>
      </c>
      <c r="B13" s="790"/>
      <c r="C13" s="790"/>
      <c r="D13" s="790"/>
      <c r="E13" s="790"/>
      <c r="F13" s="790"/>
      <c r="G13" s="791"/>
      <c r="H13" s="110">
        <v>0</v>
      </c>
      <c r="I13" s="617"/>
      <c r="J13" s="689" t="s">
        <v>32</v>
      </c>
      <c r="K13" s="769"/>
      <c r="L13" s="110">
        <v>0</v>
      </c>
      <c r="M13" s="224"/>
      <c r="N13" s="224"/>
      <c r="O13" s="200"/>
      <c r="Q13" s="1"/>
      <c r="R13" s="2"/>
      <c r="S13" s="3"/>
      <c r="AA13" s="4"/>
      <c r="AB13" s="4"/>
      <c r="AC13" s="4"/>
    </row>
    <row r="14" spans="1:52" ht="13.5" thickBot="1" x14ac:dyDescent="0.25">
      <c r="A14" s="716" t="s">
        <v>36</v>
      </c>
      <c r="B14" s="444"/>
      <c r="C14" s="444"/>
      <c r="D14" s="444"/>
      <c r="E14" s="695" t="s">
        <v>37</v>
      </c>
      <c r="F14" s="695"/>
      <c r="G14" s="695"/>
      <c r="H14" s="695"/>
      <c r="I14" s="695" t="s">
        <v>38</v>
      </c>
      <c r="J14" s="695"/>
      <c r="K14" s="695"/>
      <c r="L14" s="695"/>
      <c r="M14" s="354"/>
      <c r="N14" s="224"/>
      <c r="O14" s="200"/>
      <c r="Q14" s="1"/>
      <c r="R14" s="2"/>
      <c r="S14" s="3"/>
      <c r="AA14" s="4"/>
      <c r="AB14" s="4"/>
      <c r="AC14" s="4"/>
    </row>
    <row r="15" spans="1:52" ht="15.75" customHeight="1" x14ac:dyDescent="0.2">
      <c r="A15" s="716"/>
      <c r="B15" s="717" t="s">
        <v>188</v>
      </c>
      <c r="C15" s="719" t="s">
        <v>42</v>
      </c>
      <c r="D15" s="721" t="s">
        <v>43</v>
      </c>
      <c r="E15" s="696" t="s">
        <v>189</v>
      </c>
      <c r="F15" s="704" t="s">
        <v>44</v>
      </c>
      <c r="G15" s="706" t="s">
        <v>45</v>
      </c>
      <c r="H15" s="702" t="s">
        <v>46</v>
      </c>
      <c r="I15" s="696" t="s">
        <v>190</v>
      </c>
      <c r="J15" s="704" t="s">
        <v>44</v>
      </c>
      <c r="K15" s="706" t="s">
        <v>45</v>
      </c>
      <c r="L15" s="702" t="s">
        <v>46</v>
      </c>
      <c r="M15" s="700" t="s">
        <v>47</v>
      </c>
      <c r="N15" s="390"/>
      <c r="O15" s="200"/>
      <c r="AA15" s="4"/>
      <c r="AB15" s="4"/>
      <c r="AC15" s="4"/>
    </row>
    <row r="16" spans="1:52" s="11" customFormat="1" x14ac:dyDescent="0.2">
      <c r="A16" s="443" t="s">
        <v>48</v>
      </c>
      <c r="B16" s="718"/>
      <c r="C16" s="720"/>
      <c r="D16" s="722"/>
      <c r="E16" s="697"/>
      <c r="F16" s="705"/>
      <c r="G16" s="707"/>
      <c r="H16" s="703"/>
      <c r="I16" s="697"/>
      <c r="J16" s="705"/>
      <c r="K16" s="707"/>
      <c r="L16" s="703"/>
      <c r="M16" s="701"/>
      <c r="N16" s="391"/>
      <c r="O16" s="392"/>
    </row>
    <row r="17" spans="1:73" x14ac:dyDescent="0.2">
      <c r="A17" s="442" t="s">
        <v>49</v>
      </c>
      <c r="B17" s="718"/>
      <c r="C17" s="720"/>
      <c r="D17" s="722"/>
      <c r="E17" s="697"/>
      <c r="F17" s="705"/>
      <c r="G17" s="707"/>
      <c r="H17" s="703"/>
      <c r="I17" s="697"/>
      <c r="J17" s="705"/>
      <c r="K17" s="707"/>
      <c r="L17" s="703"/>
      <c r="M17" s="701"/>
      <c r="N17" s="225" t="s">
        <v>50</v>
      </c>
      <c r="O17" s="200"/>
      <c r="Q17" s="1"/>
      <c r="R17" s="2"/>
      <c r="S17" s="3"/>
      <c r="AA17" s="4"/>
      <c r="AB17" s="4"/>
      <c r="AC17" s="4"/>
    </row>
    <row r="18" spans="1:73" x14ac:dyDescent="0.2">
      <c r="A18" s="111" t="s">
        <v>51</v>
      </c>
      <c r="B18" s="130"/>
      <c r="C18" s="123"/>
      <c r="D18" s="640">
        <f>9*C18</f>
        <v>0</v>
      </c>
      <c r="E18" s="638">
        <f>B18*(1+$H$13)</f>
        <v>0</v>
      </c>
      <c r="F18" s="175">
        <f>IF(($B18*(1+$H$13))&gt;=($L$2*9),ROUND(($L$2*9)*C18,0),ROUND(($C18*$B18*(1+$H$13)),0))</f>
        <v>0</v>
      </c>
      <c r="G18" s="175">
        <f>ROUND(F18*$L$5,0)</f>
        <v>0</v>
      </c>
      <c r="H18" s="176">
        <f>ROUND(SUM(F18:G18),0)</f>
        <v>0</v>
      </c>
      <c r="I18" s="638">
        <f>IF($B$10&gt;1,B18*(1+$H$13)*(1+$L$13),0)</f>
        <v>0</v>
      </c>
      <c r="J18" s="175">
        <f>IF($B$10&lt;2,0,
IF(AND($B$10&gt;1,($B$18*(1+$H$13)*(1+$L$13))&gt;=($L$2*9)),ROUND((($L$2*9)*$C$18),0),
IF(AND($B$10&gt;1,($B$18*(1+$H$13)*(1+$L$13))&lt;($L$2*9)),ROUND((F18*(1+$L$13)),0))))</f>
        <v>0</v>
      </c>
      <c r="K18" s="175">
        <f>ROUND(J18*$L$5,0)</f>
        <v>0</v>
      </c>
      <c r="L18" s="176">
        <f t="shared" ref="L18:L28" si="0">ROUND(SUM(J18:K18),0)</f>
        <v>0</v>
      </c>
      <c r="M18" s="145">
        <f>SUM(H18,L18)</f>
        <v>0</v>
      </c>
      <c r="N18" s="299" t="s">
        <v>51</v>
      </c>
      <c r="O18" s="200"/>
      <c r="Q18" s="1"/>
      <c r="R18" s="2"/>
      <c r="S18" s="3"/>
      <c r="AA18" s="4"/>
      <c r="AB18" s="4"/>
      <c r="AC18" s="4"/>
    </row>
    <row r="19" spans="1:73" x14ac:dyDescent="0.2">
      <c r="A19" s="113" t="s">
        <v>52</v>
      </c>
      <c r="B19" s="383">
        <f>B18/9*3</f>
        <v>0</v>
      </c>
      <c r="C19" s="124"/>
      <c r="D19" s="640">
        <f>3*C19</f>
        <v>0</v>
      </c>
      <c r="E19" s="638">
        <f>B19*(1+$H$13)</f>
        <v>0</v>
      </c>
      <c r="F19" s="175">
        <f>IF(($B19*(1+$H$13))&gt;=($L$2*3),ROUND(($L$2*3)*C19,0),ROUND(($C19*$B19*(1+$H$13)),0))</f>
        <v>0</v>
      </c>
      <c r="G19" s="175">
        <f>ROUND(F19*$L$8,0)</f>
        <v>0</v>
      </c>
      <c r="H19" s="176">
        <f t="shared" ref="H19:H28" si="1">ROUND(SUM(F19:G19),0)</f>
        <v>0</v>
      </c>
      <c r="I19" s="638">
        <f t="shared" ref="I19:I28" si="2">IF($B$10&gt;1,B19*(1+$H$13)*(1+$L$13),0)</f>
        <v>0</v>
      </c>
      <c r="J19" s="175">
        <f>IF($B$10&lt;2,0,
IF(AND($B$10&gt;1,($B$19*(1+$H$13)*(1+$L$13))&gt;=($L$2*3)),ROUND((($L$2*3)*$C$19),0),
IF(AND($B$10&gt;1,($B$19*(1+$H$13)*(1+$L$13))&lt;($L$2*3)),ROUND((F19*(1+$L$13)),0))))</f>
        <v>0</v>
      </c>
      <c r="K19" s="175">
        <f>ROUND(J19*$L$8,0)</f>
        <v>0</v>
      </c>
      <c r="L19" s="176">
        <f t="shared" si="0"/>
        <v>0</v>
      </c>
      <c r="M19" s="145">
        <f t="shared" ref="M19:M81" si="3">SUM(H19,L19)</f>
        <v>0</v>
      </c>
      <c r="N19" s="299" t="s">
        <v>52</v>
      </c>
      <c r="O19" s="200"/>
      <c r="Q19" s="1"/>
      <c r="R19" s="2"/>
      <c r="S19" s="3"/>
      <c r="AA19" s="4"/>
      <c r="AB19" s="4"/>
      <c r="AC19" s="4"/>
    </row>
    <row r="20" spans="1:73" x14ac:dyDescent="0.2">
      <c r="A20" s="113" t="s">
        <v>53</v>
      </c>
      <c r="B20" s="133"/>
      <c r="C20" s="124"/>
      <c r="D20" s="640">
        <f>10*C20</f>
        <v>0</v>
      </c>
      <c r="E20" s="638">
        <f>B20*(1+$H$13)</f>
        <v>0</v>
      </c>
      <c r="F20" s="175">
        <f>IF(($B20*(1+$H$13))&gt;=($L$2*10),ROUND(($L$2*10)*C20,0),ROUND(($C20*$B20*(1+$H$13)),0))</f>
        <v>0</v>
      </c>
      <c r="G20" s="175">
        <f>ROUND(F20*$L$5,0)</f>
        <v>0</v>
      </c>
      <c r="H20" s="176">
        <f t="shared" si="1"/>
        <v>0</v>
      </c>
      <c r="I20" s="638">
        <f t="shared" si="2"/>
        <v>0</v>
      </c>
      <c r="J20" s="175">
        <f>IF($B$10&lt;2,0,
IF(AND($B$10&gt;1,($B$20*(1+$H$13)*(1+$L$13))&gt;=($L$2*10)),ROUND((($L$2*10)*$C$20),0),
IF(AND($B$10&gt;1,($B$20*(1+$H$13)*(1+$L$13))&lt;($L$2*10)),ROUND((F20*(1+$L$13)),0))))</f>
        <v>0</v>
      </c>
      <c r="K20" s="175">
        <f>ROUND(J20*$L$5,0)</f>
        <v>0</v>
      </c>
      <c r="L20" s="176">
        <f t="shared" si="0"/>
        <v>0</v>
      </c>
      <c r="M20" s="145">
        <f t="shared" si="3"/>
        <v>0</v>
      </c>
      <c r="N20" s="299" t="s">
        <v>53</v>
      </c>
      <c r="O20" s="200"/>
      <c r="Q20" s="1"/>
      <c r="R20" s="2"/>
      <c r="S20" s="3"/>
      <c r="AA20" s="4"/>
      <c r="AB20" s="4"/>
      <c r="AC20" s="4"/>
    </row>
    <row r="21" spans="1:73" x14ac:dyDescent="0.2">
      <c r="A21" s="113" t="s">
        <v>54</v>
      </c>
      <c r="B21" s="383">
        <f>B20/10*2</f>
        <v>0</v>
      </c>
      <c r="C21" s="124"/>
      <c r="D21" s="640">
        <f>2*C21</f>
        <v>0</v>
      </c>
      <c r="E21" s="638">
        <f t="shared" ref="E21:E28" si="4">B21*(1+$H$13)</f>
        <v>0</v>
      </c>
      <c r="F21" s="175">
        <f>IF(($B21*(1+$H$13))&gt;=($L$2*2),ROUND(($L$2*2)*C21,0),ROUND(($C21*$B21*(1+$H$13)),0))</f>
        <v>0</v>
      </c>
      <c r="G21" s="175">
        <f>ROUND(F21*$L$8,0)</f>
        <v>0</v>
      </c>
      <c r="H21" s="176">
        <f>ROUND(SUM(F21:G21),0)</f>
        <v>0</v>
      </c>
      <c r="I21" s="638">
        <f t="shared" si="2"/>
        <v>0</v>
      </c>
      <c r="J21" s="175">
        <f>IF($B$10&lt;2,0,
IF(AND($B$10&gt;1,($B$21*(1+$H$13)*(1+$L$13))&gt;=($L$2*2)),ROUND((($L$2*2)*$C$21),0),
IF(AND($B$10&gt;1,($B$21*(1+$H$13)*(1+$L$13))&lt;($L$2*2)),ROUND((F21*(1+$L$13)),0))))</f>
        <v>0</v>
      </c>
      <c r="K21" s="175">
        <f>ROUND(J21*$L$8,0)</f>
        <v>0</v>
      </c>
      <c r="L21" s="176">
        <f t="shared" si="0"/>
        <v>0</v>
      </c>
      <c r="M21" s="145">
        <f t="shared" si="3"/>
        <v>0</v>
      </c>
      <c r="N21" s="299" t="s">
        <v>54</v>
      </c>
      <c r="O21" s="200"/>
      <c r="Q21" s="1"/>
      <c r="R21" s="2"/>
      <c r="S21" s="3"/>
      <c r="AA21" s="4"/>
      <c r="AB21" s="4"/>
      <c r="AC21" s="4"/>
    </row>
    <row r="22" spans="1:73" x14ac:dyDescent="0.2">
      <c r="A22" s="113" t="s">
        <v>55</v>
      </c>
      <c r="B22" s="133"/>
      <c r="C22" s="604"/>
      <c r="D22" s="640">
        <f t="shared" ref="D22:D28" si="5">12*C22</f>
        <v>0</v>
      </c>
      <c r="E22" s="638">
        <f t="shared" si="4"/>
        <v>0</v>
      </c>
      <c r="F22" s="175">
        <f t="shared" ref="F22:F28" si="6">IF(($B22*(1+$H$13))&gt;=$L$3,ROUND($L$3*C22,0),ROUND(($C22*$B22*(1+$H$13)),0))</f>
        <v>0</v>
      </c>
      <c r="G22" s="175">
        <f>ROUND(F22*$L$5,0)</f>
        <v>0</v>
      </c>
      <c r="H22" s="176">
        <f t="shared" si="1"/>
        <v>0</v>
      </c>
      <c r="I22" s="638">
        <f t="shared" si="2"/>
        <v>0</v>
      </c>
      <c r="J22" s="175">
        <f t="shared" ref="J22:J28" si="7">IF($B$10&lt;2,0,
IF(AND($B$10&gt;1,($B22*(1+$H$13)*(1+$L$13))&gt;=$L$3),ROUND(($L$3*$C22),0),
IF(AND($B$10&gt;1,($B22*(1+$H$13)*(1+$L$13))&lt;$L$3),ROUND((F22*(1+$L$13)),0))))</f>
        <v>0</v>
      </c>
      <c r="K22" s="175">
        <f>ROUND(J22*$L$5,0)</f>
        <v>0</v>
      </c>
      <c r="L22" s="176">
        <f t="shared" si="0"/>
        <v>0</v>
      </c>
      <c r="M22" s="145">
        <f t="shared" si="3"/>
        <v>0</v>
      </c>
      <c r="N22" s="299" t="s">
        <v>55</v>
      </c>
      <c r="O22" s="200"/>
      <c r="Q22" s="1"/>
      <c r="R22" s="2"/>
      <c r="S22" s="3"/>
      <c r="AA22" s="4"/>
      <c r="AB22" s="4"/>
      <c r="AC22" s="4"/>
    </row>
    <row r="23" spans="1:73" x14ac:dyDescent="0.2">
      <c r="A23" s="258" t="s">
        <v>200</v>
      </c>
      <c r="B23" s="674">
        <v>66560</v>
      </c>
      <c r="C23" s="603"/>
      <c r="D23" s="640">
        <f t="shared" si="5"/>
        <v>0</v>
      </c>
      <c r="E23" s="638">
        <f t="shared" si="4"/>
        <v>66560</v>
      </c>
      <c r="F23" s="175">
        <f t="shared" si="6"/>
        <v>0</v>
      </c>
      <c r="G23" s="175">
        <f>ROUND(F23*$L$5,0)</f>
        <v>0</v>
      </c>
      <c r="H23" s="176">
        <f t="shared" si="1"/>
        <v>0</v>
      </c>
      <c r="I23" s="638">
        <f t="shared" si="2"/>
        <v>0</v>
      </c>
      <c r="J23" s="175">
        <f t="shared" si="7"/>
        <v>0</v>
      </c>
      <c r="K23" s="175">
        <f>ROUND(J23*$L$5,0)</f>
        <v>0</v>
      </c>
      <c r="L23" s="176">
        <f t="shared" si="0"/>
        <v>0</v>
      </c>
      <c r="M23" s="145">
        <f t="shared" si="3"/>
        <v>0</v>
      </c>
      <c r="N23" s="299" t="s">
        <v>162</v>
      </c>
      <c r="O23" s="200"/>
      <c r="Q23" s="1"/>
      <c r="R23" s="2"/>
      <c r="S23" s="3"/>
      <c r="AA23" s="4"/>
      <c r="AB23" s="4"/>
      <c r="AC23" s="4"/>
    </row>
    <row r="24" spans="1:73" x14ac:dyDescent="0.2">
      <c r="A24" s="258" t="s">
        <v>201</v>
      </c>
      <c r="B24" s="674"/>
      <c r="C24" s="603"/>
      <c r="D24" s="640">
        <f t="shared" si="5"/>
        <v>0</v>
      </c>
      <c r="E24" s="638">
        <f t="shared" si="4"/>
        <v>0</v>
      </c>
      <c r="F24" s="175">
        <f t="shared" si="6"/>
        <v>0</v>
      </c>
      <c r="G24" s="175">
        <f>ROUND(F24*$L$5,0)</f>
        <v>0</v>
      </c>
      <c r="H24" s="176">
        <f t="shared" si="1"/>
        <v>0</v>
      </c>
      <c r="I24" s="638">
        <f>IF($B$10&gt;1,B24*(1+$H$13)*(1+$L$13),0)</f>
        <v>0</v>
      </c>
      <c r="J24" s="175">
        <f t="shared" si="7"/>
        <v>0</v>
      </c>
      <c r="K24" s="175">
        <f>ROUND(J24*$L$5,0)</f>
        <v>0</v>
      </c>
      <c r="L24" s="176">
        <f t="shared" si="0"/>
        <v>0</v>
      </c>
      <c r="M24" s="145">
        <f t="shared" si="3"/>
        <v>0</v>
      </c>
      <c r="N24" s="299" t="s">
        <v>163</v>
      </c>
      <c r="O24" s="200"/>
      <c r="Q24" s="1"/>
      <c r="R24" s="2"/>
      <c r="S24" s="3"/>
      <c r="AA24" s="4"/>
      <c r="AB24" s="4"/>
      <c r="AC24" s="4"/>
    </row>
    <row r="25" spans="1:73" x14ac:dyDescent="0.2">
      <c r="A25" s="675" t="s">
        <v>57</v>
      </c>
      <c r="B25" s="674"/>
      <c r="C25" s="603"/>
      <c r="D25" s="640">
        <f t="shared" si="5"/>
        <v>0</v>
      </c>
      <c r="E25" s="638">
        <f t="shared" si="4"/>
        <v>0</v>
      </c>
      <c r="F25" s="175">
        <f t="shared" si="6"/>
        <v>0</v>
      </c>
      <c r="G25" s="175">
        <f>IF($C25&gt;50%,ROUND((F25*$L$6),0),ROUND((F25*$L$8),0))</f>
        <v>0</v>
      </c>
      <c r="H25" s="176">
        <f t="shared" si="1"/>
        <v>0</v>
      </c>
      <c r="I25" s="638">
        <f t="shared" si="2"/>
        <v>0</v>
      </c>
      <c r="J25" s="175">
        <f t="shared" si="7"/>
        <v>0</v>
      </c>
      <c r="K25" s="175">
        <f>IF($C25&gt;50%,ROUND((J25*$L$6),0),ROUND((J25*$L$8),0))</f>
        <v>0</v>
      </c>
      <c r="L25" s="176">
        <f t="shared" si="0"/>
        <v>0</v>
      </c>
      <c r="M25" s="145">
        <f t="shared" si="3"/>
        <v>0</v>
      </c>
      <c r="N25" s="299" t="s">
        <v>165</v>
      </c>
      <c r="O25" s="200"/>
      <c r="Q25" s="1"/>
      <c r="R25" s="2"/>
      <c r="S25" s="3"/>
      <c r="AA25" s="4"/>
      <c r="AB25" s="4"/>
      <c r="AC25" s="4"/>
    </row>
    <row r="26" spans="1:73" x14ac:dyDescent="0.2">
      <c r="A26" s="258" t="s">
        <v>58</v>
      </c>
      <c r="B26" s="580">
        <f>35.77*2080</f>
        <v>74401.600000000006</v>
      </c>
      <c r="C26" s="603"/>
      <c r="D26" s="640">
        <f t="shared" si="5"/>
        <v>0</v>
      </c>
      <c r="E26" s="638">
        <f t="shared" si="4"/>
        <v>74401.600000000006</v>
      </c>
      <c r="F26" s="175">
        <f t="shared" si="6"/>
        <v>0</v>
      </c>
      <c r="G26" s="175">
        <f>ROUND(F26*$L$7,0)</f>
        <v>0</v>
      </c>
      <c r="H26" s="176">
        <f t="shared" si="1"/>
        <v>0</v>
      </c>
      <c r="I26" s="638">
        <f t="shared" si="2"/>
        <v>0</v>
      </c>
      <c r="J26" s="175">
        <f t="shared" si="7"/>
        <v>0</v>
      </c>
      <c r="K26" s="175">
        <f>ROUND(J26*$L$7,0)</f>
        <v>0</v>
      </c>
      <c r="L26" s="176">
        <f t="shared" si="0"/>
        <v>0</v>
      </c>
      <c r="M26" s="145">
        <f t="shared" si="3"/>
        <v>0</v>
      </c>
      <c r="N26" s="299" t="s">
        <v>59</v>
      </c>
      <c r="O26" s="200"/>
      <c r="Q26" s="1"/>
      <c r="R26" s="2"/>
      <c r="S26" s="3"/>
      <c r="AA26" s="4"/>
      <c r="AB26" s="4"/>
      <c r="AC26" s="4"/>
    </row>
    <row r="27" spans="1:73" x14ac:dyDescent="0.2">
      <c r="A27" s="258" t="s">
        <v>60</v>
      </c>
      <c r="B27" s="580">
        <f>37.82*2080</f>
        <v>78665.600000000006</v>
      </c>
      <c r="C27" s="603"/>
      <c r="D27" s="640">
        <f t="shared" si="5"/>
        <v>0</v>
      </c>
      <c r="E27" s="638">
        <f t="shared" si="4"/>
        <v>78665.600000000006</v>
      </c>
      <c r="F27" s="175">
        <f t="shared" si="6"/>
        <v>0</v>
      </c>
      <c r="G27" s="175">
        <f>ROUND(F27*$L$7,0)</f>
        <v>0</v>
      </c>
      <c r="H27" s="176">
        <f t="shared" si="1"/>
        <v>0</v>
      </c>
      <c r="I27" s="638">
        <f t="shared" si="2"/>
        <v>0</v>
      </c>
      <c r="J27" s="175">
        <f t="shared" si="7"/>
        <v>0</v>
      </c>
      <c r="K27" s="175">
        <f>ROUND(J27*$L$7,0)</f>
        <v>0</v>
      </c>
      <c r="L27" s="176">
        <f t="shared" si="0"/>
        <v>0</v>
      </c>
      <c r="M27" s="145">
        <f t="shared" si="3"/>
        <v>0</v>
      </c>
      <c r="N27" s="299" t="s">
        <v>61</v>
      </c>
      <c r="O27" s="200"/>
      <c r="Q27" s="1"/>
      <c r="R27" s="2"/>
      <c r="S27" s="3"/>
      <c r="AA27" s="4"/>
      <c r="AB27" s="4"/>
      <c r="AC27" s="4"/>
    </row>
    <row r="28" spans="1:73" ht="13.5" thickBot="1" x14ac:dyDescent="0.25">
      <c r="A28" s="259" t="s">
        <v>62</v>
      </c>
      <c r="B28" s="115">
        <f>16*2080</f>
        <v>33280</v>
      </c>
      <c r="C28" s="135"/>
      <c r="D28" s="641">
        <f t="shared" si="5"/>
        <v>0</v>
      </c>
      <c r="E28" s="639">
        <f t="shared" si="4"/>
        <v>33280</v>
      </c>
      <c r="F28" s="177">
        <f t="shared" si="6"/>
        <v>0</v>
      </c>
      <c r="G28" s="177">
        <f>ROUND(F28*$L$7,0)</f>
        <v>0</v>
      </c>
      <c r="H28" s="178">
        <f t="shared" si="1"/>
        <v>0</v>
      </c>
      <c r="I28" s="639">
        <f t="shared" si="2"/>
        <v>0</v>
      </c>
      <c r="J28" s="177">
        <f t="shared" si="7"/>
        <v>0</v>
      </c>
      <c r="K28" s="177">
        <f>ROUND(J28*$L$7,0)</f>
        <v>0</v>
      </c>
      <c r="L28" s="178">
        <f t="shared" si="0"/>
        <v>0</v>
      </c>
      <c r="M28" s="145">
        <f t="shared" si="3"/>
        <v>0</v>
      </c>
      <c r="N28" s="299" t="s">
        <v>164</v>
      </c>
      <c r="O28" s="200"/>
      <c r="Q28" s="1"/>
      <c r="R28" s="2"/>
      <c r="S28" s="3"/>
      <c r="AA28" s="4"/>
      <c r="AB28" s="4"/>
      <c r="AC28" s="4"/>
    </row>
    <row r="29" spans="1:73" ht="13.5" thickBot="1" x14ac:dyDescent="0.25">
      <c r="A29" s="260" t="s">
        <v>64</v>
      </c>
      <c r="B29" s="261"/>
      <c r="C29" s="375" t="s">
        <v>65</v>
      </c>
      <c r="D29" s="374"/>
      <c r="E29" s="654"/>
      <c r="F29" s="177">
        <f t="shared" ref="F29:M29" si="8">SUM(F18:F28)</f>
        <v>0</v>
      </c>
      <c r="G29" s="177">
        <f t="shared" si="8"/>
        <v>0</v>
      </c>
      <c r="H29" s="180">
        <f t="shared" si="8"/>
        <v>0</v>
      </c>
      <c r="I29" s="637"/>
      <c r="J29" s="177">
        <f t="shared" si="8"/>
        <v>0</v>
      </c>
      <c r="K29" s="177">
        <f t="shared" si="8"/>
        <v>0</v>
      </c>
      <c r="L29" s="198">
        <f t="shared" si="8"/>
        <v>0</v>
      </c>
      <c r="M29" s="146">
        <f t="shared" si="8"/>
        <v>0</v>
      </c>
      <c r="N29" s="393" t="s">
        <v>64</v>
      </c>
      <c r="O29" s="394"/>
      <c r="P29" s="3"/>
      <c r="Q29" s="3"/>
      <c r="R29" s="3"/>
      <c r="S29" s="3"/>
      <c r="AA29" s="4"/>
      <c r="AB29" s="4"/>
      <c r="AC29" s="4"/>
    </row>
    <row r="30" spans="1:73" ht="13.5" thickBot="1" x14ac:dyDescent="0.25">
      <c r="A30" s="260"/>
      <c r="B30" s="261"/>
      <c r="C30" s="262"/>
      <c r="D30" s="261"/>
      <c r="E30" s="261"/>
      <c r="F30" s="261"/>
      <c r="G30" s="261"/>
      <c r="H30" s="263"/>
      <c r="I30" s="263"/>
      <c r="J30" s="261"/>
      <c r="K30" s="261"/>
      <c r="L30" s="261"/>
      <c r="M30" s="147">
        <f>SUM(F29,J29)</f>
        <v>0</v>
      </c>
      <c r="N30" s="393" t="s">
        <v>66</v>
      </c>
      <c r="O30" s="394"/>
      <c r="P30" s="3"/>
      <c r="Q30" s="3"/>
      <c r="R30" s="3"/>
      <c r="S30" s="3"/>
      <c r="AA30" s="4"/>
      <c r="AB30" s="4"/>
      <c r="AC30" s="4"/>
    </row>
    <row r="31" spans="1:73" ht="13.5" thickBot="1" x14ac:dyDescent="0.25">
      <c r="A31" s="264"/>
      <c r="B31" s="265"/>
      <c r="C31" s="266"/>
      <c r="D31" s="265"/>
      <c r="E31" s="265"/>
      <c r="F31" s="265"/>
      <c r="G31" s="265"/>
      <c r="H31" s="267" t="s">
        <v>37</v>
      </c>
      <c r="I31" s="267"/>
      <c r="J31" s="268"/>
      <c r="K31" s="268"/>
      <c r="L31" s="267" t="s">
        <v>38</v>
      </c>
      <c r="M31" s="148">
        <f>SUM(G29,K29)</f>
        <v>0</v>
      </c>
      <c r="N31" s="395" t="s">
        <v>67</v>
      </c>
      <c r="O31" s="394"/>
      <c r="P31" s="3"/>
      <c r="Q31" s="3"/>
      <c r="R31" s="3"/>
      <c r="S31" s="3"/>
      <c r="AA31" s="4"/>
      <c r="AB31" s="4"/>
      <c r="AC31" s="4"/>
    </row>
    <row r="32" spans="1:73" s="3" customFormat="1" ht="13.5" thickBot="1" x14ac:dyDescent="0.25">
      <c r="A32" s="269" t="s">
        <v>68</v>
      </c>
      <c r="B32" s="313"/>
      <c r="C32" s="314"/>
      <c r="D32" s="693"/>
      <c r="E32" s="693"/>
      <c r="F32" s="787"/>
      <c r="G32" s="757"/>
      <c r="H32" s="136">
        <v>0</v>
      </c>
      <c r="I32" s="661"/>
      <c r="J32" s="693"/>
      <c r="K32" s="757"/>
      <c r="L32" s="136">
        <v>0</v>
      </c>
      <c r="M32" s="149">
        <f>SUM(H32,L32)</f>
        <v>0</v>
      </c>
      <c r="N32" s="396" t="s">
        <v>69</v>
      </c>
      <c r="O32" s="39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row>
    <row r="33" spans="1:73" x14ac:dyDescent="0.2">
      <c r="A33" s="275" t="s">
        <v>70</v>
      </c>
      <c r="B33" s="261"/>
      <c r="C33" s="276"/>
      <c r="D33" s="708"/>
      <c r="E33" s="708"/>
      <c r="F33" s="765"/>
      <c r="G33" s="766"/>
      <c r="H33" s="117">
        <v>0</v>
      </c>
      <c r="I33" s="619"/>
      <c r="J33" s="691"/>
      <c r="K33" s="764"/>
      <c r="L33" s="117">
        <v>0</v>
      </c>
      <c r="M33" s="150">
        <f t="shared" si="3"/>
        <v>0</v>
      </c>
      <c r="N33" s="224" t="s">
        <v>71</v>
      </c>
      <c r="O33" s="394"/>
      <c r="P33" s="3"/>
      <c r="Q33" s="3"/>
      <c r="R33" s="3"/>
      <c r="S33" s="3"/>
      <c r="AA33" s="4"/>
      <c r="AB33" s="4"/>
      <c r="AC33" s="4"/>
    </row>
    <row r="34" spans="1:73" ht="13.5" thickBot="1" x14ac:dyDescent="0.25">
      <c r="A34" s="275" t="s">
        <v>72</v>
      </c>
      <c r="B34" s="261"/>
      <c r="C34" s="276"/>
      <c r="D34" s="708"/>
      <c r="E34" s="708"/>
      <c r="F34" s="765"/>
      <c r="G34" s="765"/>
      <c r="H34" s="125">
        <v>0</v>
      </c>
      <c r="I34" s="619"/>
      <c r="J34" s="691"/>
      <c r="K34" s="764"/>
      <c r="L34" s="125">
        <v>0</v>
      </c>
      <c r="M34" s="151">
        <f t="shared" si="3"/>
        <v>0</v>
      </c>
      <c r="N34" s="224" t="s">
        <v>73</v>
      </c>
      <c r="O34" s="394"/>
      <c r="P34" s="3"/>
      <c r="Q34" s="3"/>
      <c r="R34" s="3"/>
      <c r="S34" s="3"/>
      <c r="AA34" s="4"/>
      <c r="AB34" s="4"/>
      <c r="AC34" s="4"/>
    </row>
    <row r="35" spans="1:73" ht="13.5" thickBot="1" x14ac:dyDescent="0.25">
      <c r="A35" s="282" t="s">
        <v>74</v>
      </c>
      <c r="B35" s="265"/>
      <c r="C35" s="283"/>
      <c r="D35" s="265"/>
      <c r="E35" s="265"/>
      <c r="F35" s="265"/>
      <c r="G35" s="265"/>
      <c r="H35" s="181">
        <f>H33+H34</f>
        <v>0</v>
      </c>
      <c r="I35" s="620"/>
      <c r="J35" s="265"/>
      <c r="K35" s="265"/>
      <c r="L35" s="181">
        <f>L33+L34</f>
        <v>0</v>
      </c>
      <c r="M35" s="152">
        <f t="shared" si="3"/>
        <v>0</v>
      </c>
      <c r="N35" s="397" t="s">
        <v>75</v>
      </c>
      <c r="O35" s="200"/>
      <c r="Q35" s="1"/>
      <c r="R35" s="2"/>
      <c r="S35" s="3"/>
      <c r="AA35" s="4"/>
      <c r="AB35" s="4"/>
      <c r="AC35" s="4"/>
    </row>
    <row r="36" spans="1:73" s="465" customFormat="1" outlineLevel="1" x14ac:dyDescent="0.2">
      <c r="A36" s="285" t="s">
        <v>76</v>
      </c>
      <c r="B36" s="456" t="s">
        <v>77</v>
      </c>
      <c r="C36" s="817" t="s">
        <v>78</v>
      </c>
      <c r="D36" s="818"/>
      <c r="E36" s="818"/>
      <c r="F36" s="818"/>
      <c r="G36" s="119"/>
      <c r="H36" s="263"/>
      <c r="I36" s="621"/>
      <c r="J36" s="154" t="s">
        <v>38</v>
      </c>
      <c r="K36" s="119"/>
      <c r="L36" s="263"/>
      <c r="M36" s="286"/>
      <c r="N36" s="248" t="s">
        <v>138</v>
      </c>
      <c r="O36" s="200"/>
      <c r="P36" s="4"/>
      <c r="Q36" s="1"/>
      <c r="R36" s="2"/>
      <c r="S36" s="3"/>
      <c r="T36" s="4"/>
      <c r="U36" s="4"/>
      <c r="V36" s="4"/>
      <c r="W36" s="4"/>
      <c r="X36" s="4"/>
      <c r="Y36" s="4"/>
      <c r="Z36" s="4"/>
      <c r="AA36" s="4"/>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row>
    <row r="37" spans="1:73" outlineLevel="1" x14ac:dyDescent="0.2">
      <c r="A37" s="258" t="s">
        <v>79</v>
      </c>
      <c r="B37" s="112"/>
      <c r="C37" s="224"/>
      <c r="D37" s="224"/>
      <c r="E37" s="224"/>
      <c r="F37" s="224"/>
      <c r="G37" s="261"/>
      <c r="H37" s="469">
        <f>B37*$G$36*(1+$H$13)</f>
        <v>0</v>
      </c>
      <c r="I37" s="644"/>
      <c r="J37" s="261"/>
      <c r="K37" s="261"/>
      <c r="L37" s="472">
        <f>B37*$K$36*(1+$H$13)*(1+$L$13)</f>
        <v>0</v>
      </c>
      <c r="M37" s="155">
        <f t="shared" si="3"/>
        <v>0</v>
      </c>
      <c r="N37" s="299" t="s">
        <v>80</v>
      </c>
      <c r="O37" s="200"/>
      <c r="Q37" s="1"/>
      <c r="R37" s="2"/>
      <c r="S37" s="3"/>
      <c r="AA37" s="4"/>
      <c r="AB37" s="4"/>
      <c r="AC37" s="4"/>
    </row>
    <row r="38" spans="1:73" outlineLevel="1" x14ac:dyDescent="0.2">
      <c r="A38" s="258" t="s">
        <v>81</v>
      </c>
      <c r="B38" s="114"/>
      <c r="C38" s="224"/>
      <c r="D38" s="261"/>
      <c r="E38" s="261"/>
      <c r="F38" s="261"/>
      <c r="G38" s="261"/>
      <c r="H38" s="469">
        <f>B38*$G$36*(1+$H$13)</f>
        <v>0</v>
      </c>
      <c r="I38" s="644"/>
      <c r="J38" s="261"/>
      <c r="K38" s="261"/>
      <c r="L38" s="472">
        <f>B38*$K$36*(1+$H$13)*(1+$L$13)</f>
        <v>0</v>
      </c>
      <c r="M38" s="155">
        <f t="shared" si="3"/>
        <v>0</v>
      </c>
      <c r="N38" s="299" t="s">
        <v>82</v>
      </c>
      <c r="O38" s="200"/>
      <c r="Q38" s="1"/>
      <c r="R38" s="2"/>
      <c r="S38" s="3"/>
      <c r="AA38" s="4"/>
      <c r="AB38" s="4"/>
      <c r="AC38" s="4"/>
    </row>
    <row r="39" spans="1:73" outlineLevel="1" x14ac:dyDescent="0.2">
      <c r="A39" s="258" t="s">
        <v>83</v>
      </c>
      <c r="B39" s="114"/>
      <c r="C39" s="224"/>
      <c r="D39" s="261"/>
      <c r="E39" s="261"/>
      <c r="F39" s="261"/>
      <c r="G39" s="261"/>
      <c r="H39" s="469">
        <f>B39*$G$36*(1+$H$13)</f>
        <v>0</v>
      </c>
      <c r="I39" s="644"/>
      <c r="J39" s="261"/>
      <c r="K39" s="261"/>
      <c r="L39" s="472">
        <f>B39*$K$36*(1+$H$13)*(1+$L$13)</f>
        <v>0</v>
      </c>
      <c r="M39" s="155">
        <f t="shared" si="3"/>
        <v>0</v>
      </c>
      <c r="N39" s="299" t="s">
        <v>84</v>
      </c>
      <c r="O39" s="200"/>
      <c r="Q39" s="1"/>
      <c r="R39" s="2"/>
      <c r="S39" s="3"/>
      <c r="AA39" s="4"/>
      <c r="AB39" s="4"/>
      <c r="AC39" s="4"/>
    </row>
    <row r="40" spans="1:73" outlineLevel="1" x14ac:dyDescent="0.2">
      <c r="A40" s="258" t="s">
        <v>85</v>
      </c>
      <c r="B40" s="114"/>
      <c r="C40" s="224"/>
      <c r="D40" s="261"/>
      <c r="E40" s="261"/>
      <c r="F40" s="261"/>
      <c r="G40" s="261"/>
      <c r="H40" s="469">
        <f>B40*$G$36*(1+$H$13)</f>
        <v>0</v>
      </c>
      <c r="I40" s="644"/>
      <c r="J40" s="261"/>
      <c r="K40" s="261"/>
      <c r="L40" s="472">
        <f>B40*$K$36*(1+$H$13)*(1+$L$13)</f>
        <v>0</v>
      </c>
      <c r="M40" s="155">
        <f t="shared" si="3"/>
        <v>0</v>
      </c>
      <c r="N40" s="299" t="s">
        <v>86</v>
      </c>
      <c r="O40" s="200"/>
      <c r="Q40" s="1"/>
      <c r="R40" s="2"/>
      <c r="S40" s="3"/>
      <c r="AA40" s="4"/>
      <c r="AB40" s="4"/>
      <c r="AC40" s="4"/>
    </row>
    <row r="41" spans="1:73" ht="13.5" outlineLevel="1" thickBot="1" x14ac:dyDescent="0.25">
      <c r="A41" s="258" t="s">
        <v>87</v>
      </c>
      <c r="B41" s="120"/>
      <c r="C41" s="224"/>
      <c r="D41" s="261"/>
      <c r="E41" s="261"/>
      <c r="F41" s="261"/>
      <c r="G41" s="261"/>
      <c r="H41" s="470">
        <f>B41*$G$36*(1+$H$13)</f>
        <v>0</v>
      </c>
      <c r="I41" s="644"/>
      <c r="J41" s="261"/>
      <c r="K41" s="261"/>
      <c r="L41" s="472">
        <f>B41*$K$36*(1+$H$13)*(1+$L$13)</f>
        <v>0</v>
      </c>
      <c r="M41" s="156">
        <f t="shared" si="3"/>
        <v>0</v>
      </c>
      <c r="N41" s="299" t="s">
        <v>88</v>
      </c>
      <c r="O41" s="200"/>
      <c r="Q41" s="1"/>
      <c r="R41" s="2"/>
      <c r="S41" s="3"/>
      <c r="AA41" s="4"/>
      <c r="AB41" s="4"/>
      <c r="AC41" s="4"/>
    </row>
    <row r="42" spans="1:73" ht="13.5" outlineLevel="1" thickBot="1" x14ac:dyDescent="0.25">
      <c r="A42" s="282" t="s">
        <v>89</v>
      </c>
      <c r="B42" s="384"/>
      <c r="C42" s="283"/>
      <c r="D42" s="265"/>
      <c r="E42" s="265"/>
      <c r="F42" s="265"/>
      <c r="G42" s="265"/>
      <c r="H42" s="471">
        <f>SUM(H37:H41)</f>
        <v>0</v>
      </c>
      <c r="I42" s="645"/>
      <c r="J42" s="265"/>
      <c r="K42" s="265"/>
      <c r="L42" s="471">
        <f>SUM(L37:L41)</f>
        <v>0</v>
      </c>
      <c r="M42" s="152">
        <f t="shared" si="3"/>
        <v>0</v>
      </c>
      <c r="N42" s="397" t="s">
        <v>90</v>
      </c>
      <c r="O42" s="200"/>
      <c r="Q42" s="1"/>
      <c r="R42" s="2"/>
      <c r="S42" s="3"/>
      <c r="AA42" s="4"/>
      <c r="AB42" s="4"/>
      <c r="AC42" s="4"/>
    </row>
    <row r="43" spans="1:73" x14ac:dyDescent="0.2">
      <c r="A43" s="285" t="s">
        <v>91</v>
      </c>
      <c r="B43" s="819" t="s">
        <v>92</v>
      </c>
      <c r="C43" s="819"/>
      <c r="D43" s="819"/>
      <c r="E43" s="819"/>
      <c r="F43" s="819"/>
      <c r="G43" s="819"/>
      <c r="H43" s="291" t="s">
        <v>37</v>
      </c>
      <c r="I43" s="601"/>
      <c r="J43" s="321"/>
      <c r="K43" s="321"/>
      <c r="L43" s="291" t="s">
        <v>38</v>
      </c>
      <c r="M43" s="320"/>
      <c r="N43" s="248" t="s">
        <v>91</v>
      </c>
      <c r="O43" s="200"/>
      <c r="Q43" s="1"/>
      <c r="R43" s="2"/>
      <c r="S43" s="3"/>
      <c r="AA43" s="4"/>
      <c r="AB43" s="4"/>
      <c r="AC43" s="4"/>
    </row>
    <row r="44" spans="1:73" ht="13.5" thickBot="1" x14ac:dyDescent="0.25">
      <c r="A44" s="258" t="s">
        <v>93</v>
      </c>
      <c r="B44" s="137"/>
      <c r="C44" s="398"/>
      <c r="D44" s="398"/>
      <c r="E44" s="398"/>
      <c r="F44" s="398"/>
      <c r="G44" s="261"/>
      <c r="H44" s="117">
        <f>$B44*(1+$H$13)</f>
        <v>0</v>
      </c>
      <c r="I44" s="619"/>
      <c r="J44" s="261"/>
      <c r="K44" s="261"/>
      <c r="L44" s="117">
        <f>$B44*(1+$H$13)*(1+$L$13)</f>
        <v>0</v>
      </c>
      <c r="M44" s="157">
        <f t="shared" si="3"/>
        <v>0</v>
      </c>
      <c r="N44" s="258" t="s">
        <v>93</v>
      </c>
      <c r="O44" s="200"/>
      <c r="Q44" s="1"/>
      <c r="R44" s="2"/>
      <c r="S44" s="3"/>
      <c r="AA44" s="4"/>
      <c r="AB44" s="4"/>
      <c r="AC44" s="4"/>
    </row>
    <row r="45" spans="1:73" x14ac:dyDescent="0.2">
      <c r="A45" s="258" t="s">
        <v>94</v>
      </c>
      <c r="B45" s="138"/>
      <c r="C45" s="398"/>
      <c r="D45" s="398"/>
      <c r="E45" s="398"/>
      <c r="F45" s="398"/>
      <c r="G45" s="261"/>
      <c r="H45" s="121">
        <f t="shared" ref="H45:H53" si="9">$B45*(1+$H$13)</f>
        <v>0</v>
      </c>
      <c r="I45" s="619"/>
      <c r="J45" s="261"/>
      <c r="K45" s="261"/>
      <c r="L45" s="121">
        <f t="shared" ref="L45:L53" si="10">$B45*(1+$H$13)*(1+$L$13)</f>
        <v>0</v>
      </c>
      <c r="M45" s="157">
        <f t="shared" si="3"/>
        <v>0</v>
      </c>
      <c r="N45" s="258" t="s">
        <v>94</v>
      </c>
      <c r="O45" s="200"/>
      <c r="Q45" s="582" t="s">
        <v>178</v>
      </c>
      <c r="R45" s="583"/>
      <c r="S45" s="584"/>
      <c r="T45" s="585"/>
      <c r="U45" s="586"/>
      <c r="V45" s="587"/>
      <c r="AA45" s="4"/>
      <c r="AB45" s="4"/>
      <c r="AC45" s="4"/>
    </row>
    <row r="46" spans="1:73" x14ac:dyDescent="0.2">
      <c r="A46" s="258" t="s">
        <v>95</v>
      </c>
      <c r="B46" s="138"/>
      <c r="C46" s="398"/>
      <c r="D46" s="398"/>
      <c r="E46" s="398"/>
      <c r="F46" s="398"/>
      <c r="G46" s="261"/>
      <c r="H46" s="121">
        <f t="shared" si="9"/>
        <v>0</v>
      </c>
      <c r="I46" s="619"/>
      <c r="J46" s="261"/>
      <c r="K46" s="261"/>
      <c r="L46" s="121">
        <f t="shared" si="10"/>
        <v>0</v>
      </c>
      <c r="M46" s="157">
        <f t="shared" si="3"/>
        <v>0</v>
      </c>
      <c r="N46" s="258" t="s">
        <v>95</v>
      </c>
      <c r="O46" s="200"/>
      <c r="Q46" s="588">
        <v>0</v>
      </c>
      <c r="R46" s="1" t="s">
        <v>179</v>
      </c>
      <c r="S46" s="2"/>
      <c r="T46" s="3"/>
      <c r="V46" s="589"/>
      <c r="AA46" s="4"/>
      <c r="AB46" s="4"/>
      <c r="AC46" s="4"/>
    </row>
    <row r="47" spans="1:73" x14ac:dyDescent="0.2">
      <c r="A47" s="258" t="s">
        <v>171</v>
      </c>
      <c r="B47" s="103"/>
      <c r="C47" s="399"/>
      <c r="D47" s="399"/>
      <c r="E47" s="399"/>
      <c r="F47" s="399"/>
      <c r="G47" s="261"/>
      <c r="H47" s="121">
        <f t="shared" si="9"/>
        <v>0</v>
      </c>
      <c r="I47" s="619"/>
      <c r="J47" s="263"/>
      <c r="K47" s="261"/>
      <c r="L47" s="121">
        <f t="shared" si="10"/>
        <v>0</v>
      </c>
      <c r="M47" s="157">
        <f t="shared" si="3"/>
        <v>0</v>
      </c>
      <c r="N47" s="258" t="s">
        <v>186</v>
      </c>
      <c r="O47" s="200"/>
      <c r="Q47" s="588">
        <v>0</v>
      </c>
      <c r="R47" s="1" t="s">
        <v>180</v>
      </c>
      <c r="S47" s="2"/>
      <c r="T47" s="3"/>
      <c r="V47" s="589"/>
      <c r="AA47" s="4"/>
      <c r="AB47" s="4"/>
      <c r="AC47" s="4"/>
    </row>
    <row r="48" spans="1:73" x14ac:dyDescent="0.2">
      <c r="A48" s="258" t="s">
        <v>172</v>
      </c>
      <c r="B48" s="103"/>
      <c r="C48" s="399"/>
      <c r="D48" s="399"/>
      <c r="E48" s="399"/>
      <c r="F48" s="399"/>
      <c r="G48" s="261"/>
      <c r="H48" s="121">
        <f t="shared" si="9"/>
        <v>0</v>
      </c>
      <c r="I48" s="619"/>
      <c r="J48" s="263"/>
      <c r="K48" s="261"/>
      <c r="L48" s="121">
        <f t="shared" si="10"/>
        <v>0</v>
      </c>
      <c r="M48" s="157">
        <f t="shared" ref="M48" si="11">SUM(H48,L48)</f>
        <v>0</v>
      </c>
      <c r="N48" s="258" t="s">
        <v>172</v>
      </c>
      <c r="O48" s="200"/>
      <c r="Q48" s="588">
        <v>0</v>
      </c>
      <c r="R48" s="1" t="s">
        <v>181</v>
      </c>
      <c r="S48" s="2"/>
      <c r="T48" s="3"/>
      <c r="V48" s="589"/>
      <c r="AA48" s="4"/>
      <c r="AB48" s="4"/>
      <c r="AC48" s="4"/>
    </row>
    <row r="49" spans="1:73" x14ac:dyDescent="0.2">
      <c r="A49" s="258" t="s">
        <v>96</v>
      </c>
      <c r="B49" s="103"/>
      <c r="C49" s="399"/>
      <c r="D49" s="399"/>
      <c r="E49" s="399"/>
      <c r="F49" s="399"/>
      <c r="G49" s="261"/>
      <c r="H49" s="121">
        <f t="shared" si="9"/>
        <v>0</v>
      </c>
      <c r="I49" s="619"/>
      <c r="J49" s="263"/>
      <c r="K49" s="261"/>
      <c r="L49" s="121">
        <f t="shared" si="10"/>
        <v>0</v>
      </c>
      <c r="M49" s="157">
        <f t="shared" si="3"/>
        <v>0</v>
      </c>
      <c r="N49" s="258" t="s">
        <v>96</v>
      </c>
      <c r="O49" s="200"/>
      <c r="Q49" s="588">
        <v>0</v>
      </c>
      <c r="R49" s="1" t="s">
        <v>182</v>
      </c>
      <c r="S49" s="2"/>
      <c r="T49" s="3"/>
      <c r="V49" s="589"/>
      <c r="AA49" s="4"/>
      <c r="AB49" s="4"/>
      <c r="AC49" s="4"/>
    </row>
    <row r="50" spans="1:73" x14ac:dyDescent="0.2">
      <c r="A50" s="258" t="s">
        <v>173</v>
      </c>
      <c r="B50" s="103"/>
      <c r="C50" s="399"/>
      <c r="D50" s="399"/>
      <c r="E50" s="399"/>
      <c r="F50" s="399"/>
      <c r="G50" s="261"/>
      <c r="H50" s="121">
        <f t="shared" si="9"/>
        <v>0</v>
      </c>
      <c r="I50" s="619"/>
      <c r="J50" s="263"/>
      <c r="K50" s="261"/>
      <c r="L50" s="121">
        <f t="shared" si="10"/>
        <v>0</v>
      </c>
      <c r="M50" s="157">
        <f t="shared" ref="M50" si="12">SUM(H50,L50)</f>
        <v>0</v>
      </c>
      <c r="N50" s="258" t="s">
        <v>173</v>
      </c>
      <c r="O50" s="200"/>
      <c r="P50" s="578"/>
      <c r="Q50" s="588">
        <v>0</v>
      </c>
      <c r="R50" s="1" t="s">
        <v>187</v>
      </c>
      <c r="S50" s="2"/>
      <c r="T50" s="3"/>
      <c r="V50" s="589"/>
      <c r="AA50" s="4"/>
      <c r="AB50" s="4"/>
      <c r="AC50" s="4"/>
    </row>
    <row r="51" spans="1:73" x14ac:dyDescent="0.2">
      <c r="A51" s="258" t="s">
        <v>177</v>
      </c>
      <c r="B51" s="103"/>
      <c r="C51" s="399"/>
      <c r="D51" s="399"/>
      <c r="E51" s="399"/>
      <c r="F51" s="399"/>
      <c r="G51" s="261"/>
      <c r="H51" s="121">
        <f t="shared" si="9"/>
        <v>0</v>
      </c>
      <c r="I51" s="619"/>
      <c r="J51" s="263"/>
      <c r="K51" s="261"/>
      <c r="L51" s="121">
        <f t="shared" si="10"/>
        <v>0</v>
      </c>
      <c r="M51" s="157">
        <f t="shared" si="3"/>
        <v>0</v>
      </c>
      <c r="N51" s="258" t="s">
        <v>177</v>
      </c>
      <c r="O51" s="200"/>
      <c r="Q51" s="590">
        <f>M51</f>
        <v>0</v>
      </c>
      <c r="R51" s="1" t="s">
        <v>183</v>
      </c>
      <c r="S51" s="2"/>
      <c r="T51" s="3"/>
      <c r="V51" s="589"/>
      <c r="AA51" s="4"/>
      <c r="AB51" s="4"/>
      <c r="AC51" s="4"/>
    </row>
    <row r="52" spans="1:73" x14ac:dyDescent="0.2">
      <c r="A52" s="258" t="s">
        <v>97</v>
      </c>
      <c r="B52" s="103"/>
      <c r="C52" s="399"/>
      <c r="D52" s="399"/>
      <c r="E52" s="399"/>
      <c r="F52" s="399"/>
      <c r="G52" s="261"/>
      <c r="H52" s="121">
        <f t="shared" si="9"/>
        <v>0</v>
      </c>
      <c r="I52" s="619"/>
      <c r="J52" s="263"/>
      <c r="K52" s="261"/>
      <c r="L52" s="121">
        <f t="shared" si="10"/>
        <v>0</v>
      </c>
      <c r="M52" s="157">
        <f t="shared" ref="M52" si="13">SUM(H52,L52)</f>
        <v>0</v>
      </c>
      <c r="N52" s="258" t="s">
        <v>97</v>
      </c>
      <c r="O52" s="200"/>
      <c r="Q52" s="590">
        <f>SUM(Q46:Q51)</f>
        <v>0</v>
      </c>
      <c r="R52" s="1" t="s">
        <v>184</v>
      </c>
      <c r="S52" s="2"/>
      <c r="T52" s="3"/>
      <c r="V52" s="589"/>
      <c r="AA52" s="4"/>
      <c r="AB52" s="4"/>
      <c r="AC52" s="4"/>
    </row>
    <row r="53" spans="1:73" ht="13.5" thickBot="1" x14ac:dyDescent="0.25">
      <c r="A53" s="258" t="s">
        <v>97</v>
      </c>
      <c r="B53" s="103"/>
      <c r="C53" s="399"/>
      <c r="D53" s="399"/>
      <c r="E53" s="399"/>
      <c r="F53" s="399"/>
      <c r="G53" s="261"/>
      <c r="H53" s="121">
        <f t="shared" si="9"/>
        <v>0</v>
      </c>
      <c r="I53" s="619"/>
      <c r="J53" s="263"/>
      <c r="K53" s="261"/>
      <c r="L53" s="121">
        <f t="shared" si="10"/>
        <v>0</v>
      </c>
      <c r="M53" s="157">
        <f t="shared" si="3"/>
        <v>0</v>
      </c>
      <c r="N53" s="258" t="s">
        <v>97</v>
      </c>
      <c r="O53" s="200"/>
      <c r="Q53" s="595" t="e">
        <f>Q52/M78</f>
        <v>#DIV/0!</v>
      </c>
      <c r="R53" s="591" t="s">
        <v>185</v>
      </c>
      <c r="S53" s="592"/>
      <c r="T53" s="593"/>
      <c r="U53" s="591"/>
      <c r="V53" s="594"/>
      <c r="AA53" s="4"/>
      <c r="AB53" s="4"/>
      <c r="AC53" s="4"/>
    </row>
    <row r="54" spans="1:73" ht="13.5" thickBot="1" x14ac:dyDescent="0.25">
      <c r="A54" s="282" t="s">
        <v>98</v>
      </c>
      <c r="B54" s="266"/>
      <c r="C54" s="266"/>
      <c r="D54" s="266"/>
      <c r="E54" s="266"/>
      <c r="F54" s="266"/>
      <c r="G54" s="265"/>
      <c r="H54" s="474">
        <f>SUM(H44:H53)</f>
        <v>0</v>
      </c>
      <c r="I54" s="646"/>
      <c r="J54" s="265"/>
      <c r="K54" s="265"/>
      <c r="L54" s="474">
        <f>SUM(L44:L53)</f>
        <v>0</v>
      </c>
      <c r="M54" s="152">
        <f t="shared" si="3"/>
        <v>0</v>
      </c>
      <c r="N54" s="397" t="s">
        <v>99</v>
      </c>
      <c r="O54" s="394"/>
      <c r="P54" s="3"/>
      <c r="Q54" s="14"/>
      <c r="R54" s="2"/>
      <c r="S54" s="3"/>
      <c r="AA54" s="4"/>
      <c r="AB54" s="4"/>
      <c r="AC54" s="4"/>
    </row>
    <row r="55" spans="1:73" ht="17.25" customHeight="1" outlineLevel="1" x14ac:dyDescent="0.2">
      <c r="A55" s="294" t="s">
        <v>100</v>
      </c>
      <c r="B55" s="698" t="s">
        <v>166</v>
      </c>
      <c r="C55" s="699"/>
      <c r="D55" s="699"/>
      <c r="E55" s="699"/>
      <c r="F55" s="699"/>
      <c r="G55" s="699"/>
      <c r="H55" s="224"/>
      <c r="I55" s="625"/>
      <c r="J55" s="263"/>
      <c r="K55" s="261"/>
      <c r="L55" s="261"/>
      <c r="M55" s="286"/>
      <c r="N55" s="263" t="s">
        <v>100</v>
      </c>
      <c r="O55" s="400"/>
      <c r="P55" s="12"/>
      <c r="Q55" s="13"/>
      <c r="R55" s="14"/>
      <c r="S55" s="2"/>
      <c r="T55" s="3"/>
      <c r="AA55" s="4"/>
      <c r="AB55" s="4"/>
      <c r="AC55" s="4"/>
    </row>
    <row r="56" spans="1:73" s="20" customFormat="1" outlineLevel="1" x14ac:dyDescent="0.2">
      <c r="A56" s="122" t="s">
        <v>102</v>
      </c>
      <c r="B56" s="385" t="s">
        <v>103</v>
      </c>
      <c r="C56" s="739"/>
      <c r="D56" s="740"/>
      <c r="E56" s="740"/>
      <c r="F56" s="740"/>
      <c r="G56" s="740"/>
      <c r="H56" s="291" t="s">
        <v>37</v>
      </c>
      <c r="I56" s="601"/>
      <c r="J56" s="321"/>
      <c r="K56" s="321"/>
      <c r="L56" s="291" t="s">
        <v>38</v>
      </c>
      <c r="M56" s="286"/>
      <c r="N56" s="296"/>
      <c r="O56" s="401"/>
      <c r="P56" s="15"/>
      <c r="Q56" s="16"/>
      <c r="R56" s="17"/>
      <c r="S56" s="18"/>
      <c r="T56" s="19"/>
    </row>
    <row r="57" spans="1:73" s="20" customFormat="1" outlineLevel="1" x14ac:dyDescent="0.2">
      <c r="A57" s="295" t="s">
        <v>104</v>
      </c>
      <c r="B57" s="296"/>
      <c r="C57" s="297"/>
      <c r="D57" s="224"/>
      <c r="E57" s="224"/>
      <c r="F57" s="224"/>
      <c r="G57" s="298"/>
      <c r="H57" s="112"/>
      <c r="I57" s="619"/>
      <c r="J57" s="263"/>
      <c r="K57" s="261"/>
      <c r="L57" s="112"/>
      <c r="M57" s="158">
        <f t="shared" si="3"/>
        <v>0</v>
      </c>
      <c r="N57" s="299" t="s">
        <v>104</v>
      </c>
      <c r="O57" s="401"/>
      <c r="P57" s="15"/>
      <c r="Q57" s="16"/>
      <c r="R57" s="21"/>
      <c r="S57" s="18"/>
      <c r="T57" s="19"/>
    </row>
    <row r="58" spans="1:73" s="27" customFormat="1" ht="13.5" outlineLevel="1" thickBot="1" x14ac:dyDescent="0.25">
      <c r="A58" s="295" t="s">
        <v>105</v>
      </c>
      <c r="B58" s="296"/>
      <c r="C58" s="299"/>
      <c r="D58" s="225"/>
      <c r="E58" s="225"/>
      <c r="F58" s="224"/>
      <c r="G58" s="298"/>
      <c r="H58" s="114"/>
      <c r="I58" s="619"/>
      <c r="J58" s="263"/>
      <c r="K58" s="261"/>
      <c r="L58" s="114"/>
      <c r="M58" s="158">
        <f t="shared" si="3"/>
        <v>0</v>
      </c>
      <c r="N58" s="299" t="s">
        <v>105</v>
      </c>
      <c r="O58" s="402"/>
      <c r="P58" s="22"/>
      <c r="Q58" s="23"/>
      <c r="R58" s="24"/>
      <c r="S58" s="25"/>
      <c r="T58" s="26"/>
    </row>
    <row r="59" spans="1:73" s="27" customFormat="1" ht="13.5" outlineLevel="1" thickBot="1" x14ac:dyDescent="0.25">
      <c r="A59" s="300" t="s">
        <v>106</v>
      </c>
      <c r="B59" s="301"/>
      <c r="C59" s="628"/>
      <c r="D59" s="629"/>
      <c r="E59" s="629"/>
      <c r="F59" s="632" t="s">
        <v>107</v>
      </c>
      <c r="G59" s="475">
        <f>IF(H59&gt;=25000,25000,H59)</f>
        <v>0</v>
      </c>
      <c r="H59" s="476">
        <f>ROUND(SUM(H57:H58),0)</f>
        <v>0</v>
      </c>
      <c r="I59" s="648"/>
      <c r="J59" s="632" t="s">
        <v>107</v>
      </c>
      <c r="K59" s="477">
        <f>IF((L59+G59)&gt;=25000,25000-G59,L59)</f>
        <v>0</v>
      </c>
      <c r="L59" s="476">
        <f>ROUND(SUM(L57:L58),0)</f>
        <v>0</v>
      </c>
      <c r="M59" s="159">
        <f t="shared" si="3"/>
        <v>0</v>
      </c>
      <c r="N59" s="225" t="s">
        <v>108</v>
      </c>
      <c r="O59" s="402"/>
      <c r="P59" s="22"/>
      <c r="Q59" s="23"/>
      <c r="R59" s="24"/>
      <c r="S59" s="25"/>
      <c r="T59" s="26"/>
    </row>
    <row r="60" spans="1:73" s="34" customFormat="1" outlineLevel="1" x14ac:dyDescent="0.2">
      <c r="A60" s="122" t="s">
        <v>102</v>
      </c>
      <c r="B60" s="385" t="s">
        <v>109</v>
      </c>
      <c r="C60" s="297"/>
      <c r="D60" s="649"/>
      <c r="E60" s="649"/>
      <c r="F60" s="633"/>
      <c r="G60" s="649"/>
      <c r="H60" s="291" t="s">
        <v>37</v>
      </c>
      <c r="I60" s="601"/>
      <c r="J60" s="633"/>
      <c r="K60" s="321"/>
      <c r="L60" s="291" t="s">
        <v>38</v>
      </c>
      <c r="M60" s="286"/>
      <c r="N60" s="303"/>
      <c r="O60" s="403"/>
      <c r="P60" s="28"/>
      <c r="Q60" s="29"/>
      <c r="R60" s="30"/>
      <c r="S60" s="31"/>
      <c r="T60" s="32"/>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row>
    <row r="61" spans="1:73" s="33" customFormat="1" outlineLevel="1" x14ac:dyDescent="0.2">
      <c r="A61" s="295" t="s">
        <v>104</v>
      </c>
      <c r="B61" s="303"/>
      <c r="C61" s="299"/>
      <c r="D61" s="224"/>
      <c r="E61" s="224"/>
      <c r="F61" s="634"/>
      <c r="G61" s="298"/>
      <c r="H61" s="112"/>
      <c r="I61" s="619"/>
      <c r="J61" s="634"/>
      <c r="K61" s="261"/>
      <c r="L61" s="112"/>
      <c r="M61" s="158">
        <f t="shared" si="3"/>
        <v>0</v>
      </c>
      <c r="N61" s="224" t="s">
        <v>104</v>
      </c>
      <c r="O61" s="403"/>
      <c r="P61" s="28"/>
      <c r="Q61" s="35"/>
      <c r="R61" s="30"/>
      <c r="S61" s="31"/>
      <c r="T61" s="32"/>
    </row>
    <row r="62" spans="1:73" s="33" customFormat="1" ht="13.5" outlineLevel="1" thickBot="1" x14ac:dyDescent="0.25">
      <c r="A62" s="295" t="s">
        <v>105</v>
      </c>
      <c r="B62" s="303"/>
      <c r="C62" s="299"/>
      <c r="D62" s="224"/>
      <c r="E62" s="224"/>
      <c r="F62" s="634"/>
      <c r="G62" s="298"/>
      <c r="H62" s="114"/>
      <c r="I62" s="619"/>
      <c r="J62" s="634"/>
      <c r="K62" s="261"/>
      <c r="L62" s="114"/>
      <c r="M62" s="158">
        <f t="shared" si="3"/>
        <v>0</v>
      </c>
      <c r="N62" s="224" t="s">
        <v>105</v>
      </c>
      <c r="O62" s="404"/>
      <c r="P62" s="36"/>
      <c r="Q62" s="62"/>
      <c r="R62" s="30"/>
      <c r="S62" s="31"/>
      <c r="T62" s="32"/>
    </row>
    <row r="63" spans="1:73" s="33" customFormat="1" ht="13.5" outlineLevel="1" thickBot="1" x14ac:dyDescent="0.25">
      <c r="A63" s="300" t="s">
        <v>110</v>
      </c>
      <c r="B63" s="304"/>
      <c r="C63" s="628"/>
      <c r="D63" s="629"/>
      <c r="E63" s="629"/>
      <c r="F63" s="632" t="s">
        <v>107</v>
      </c>
      <c r="G63" s="475">
        <f>IF(H63&gt;=25000,25000,H63)</f>
        <v>0</v>
      </c>
      <c r="H63" s="476">
        <f>ROUND(SUM(H61:H62),0)</f>
        <v>0</v>
      </c>
      <c r="I63" s="648"/>
      <c r="J63" s="632" t="s">
        <v>107</v>
      </c>
      <c r="K63" s="477">
        <f>IF((L63+G63)&gt;=25000,25000-G63,L63)</f>
        <v>0</v>
      </c>
      <c r="L63" s="476">
        <f>ROUND(SUM(L61:L62),0)</f>
        <v>0</v>
      </c>
      <c r="M63" s="159">
        <f t="shared" si="3"/>
        <v>0</v>
      </c>
      <c r="N63" s="225" t="s">
        <v>111</v>
      </c>
      <c r="O63" s="404"/>
      <c r="P63" s="36"/>
      <c r="Q63" s="62"/>
      <c r="R63" s="30"/>
      <c r="S63" s="31"/>
      <c r="T63" s="32"/>
    </row>
    <row r="64" spans="1:73" s="33" customFormat="1" outlineLevel="1" x14ac:dyDescent="0.2">
      <c r="A64" s="122" t="s">
        <v>102</v>
      </c>
      <c r="B64" s="385" t="s">
        <v>112</v>
      </c>
      <c r="C64" s="225"/>
      <c r="D64" s="650"/>
      <c r="E64" s="650"/>
      <c r="F64" s="635"/>
      <c r="G64" s="650"/>
      <c r="H64" s="291" t="s">
        <v>37</v>
      </c>
      <c r="I64" s="601"/>
      <c r="J64" s="635"/>
      <c r="K64" s="321"/>
      <c r="L64" s="291" t="s">
        <v>38</v>
      </c>
      <c r="M64" s="286"/>
      <c r="N64" s="225"/>
      <c r="O64" s="404"/>
      <c r="P64" s="36"/>
      <c r="Q64" s="62"/>
      <c r="R64" s="30"/>
      <c r="S64" s="31"/>
      <c r="T64" s="32"/>
    </row>
    <row r="65" spans="1:73" s="33" customFormat="1" outlineLevel="1" x14ac:dyDescent="0.2">
      <c r="A65" s="295" t="s">
        <v>104</v>
      </c>
      <c r="B65" s="306"/>
      <c r="C65" s="299"/>
      <c r="D65" s="224"/>
      <c r="E65" s="224"/>
      <c r="F65" s="634"/>
      <c r="G65" s="298"/>
      <c r="H65" s="112"/>
      <c r="I65" s="619"/>
      <c r="J65" s="634"/>
      <c r="K65" s="261"/>
      <c r="L65" s="112"/>
      <c r="M65" s="158">
        <f t="shared" si="3"/>
        <v>0</v>
      </c>
      <c r="N65" s="405" t="s">
        <v>104</v>
      </c>
      <c r="O65" s="404"/>
      <c r="P65" s="36"/>
      <c r="Q65" s="62"/>
      <c r="R65" s="30"/>
      <c r="S65" s="31"/>
      <c r="T65" s="32"/>
    </row>
    <row r="66" spans="1:73" s="33" customFormat="1" ht="13.5" outlineLevel="1" thickBot="1" x14ac:dyDescent="0.25">
      <c r="A66" s="295" t="s">
        <v>105</v>
      </c>
      <c r="B66" s="306"/>
      <c r="C66" s="651"/>
      <c r="D66" s="651"/>
      <c r="E66" s="651"/>
      <c r="F66" s="652"/>
      <c r="G66" s="651"/>
      <c r="H66" s="114"/>
      <c r="I66" s="619"/>
      <c r="J66" s="652"/>
      <c r="K66" s="261"/>
      <c r="L66" s="114"/>
      <c r="M66" s="158">
        <f t="shared" si="3"/>
        <v>0</v>
      </c>
      <c r="N66" s="405" t="s">
        <v>105</v>
      </c>
      <c r="O66" s="404"/>
      <c r="P66" s="36"/>
      <c r="Q66" s="62"/>
      <c r="R66" s="30"/>
      <c r="S66" s="31"/>
      <c r="T66" s="32"/>
    </row>
    <row r="67" spans="1:73" s="33" customFormat="1" ht="13.5" outlineLevel="1" thickBot="1" x14ac:dyDescent="0.25">
      <c r="A67" s="300" t="s">
        <v>113</v>
      </c>
      <c r="B67" s="307"/>
      <c r="C67" s="628"/>
      <c r="D67" s="629"/>
      <c r="E67" s="629"/>
      <c r="F67" s="632" t="s">
        <v>107</v>
      </c>
      <c r="G67" s="475">
        <f>IF(H67&gt;=25000,25000,H67)</f>
        <v>0</v>
      </c>
      <c r="H67" s="476">
        <f>ROUND(SUM(H65:H66),0)</f>
        <v>0</v>
      </c>
      <c r="I67" s="648"/>
      <c r="J67" s="632" t="s">
        <v>107</v>
      </c>
      <c r="K67" s="477">
        <f>IF((L67+G67)&gt;=25000,25000-G67,L67)</f>
        <v>0</v>
      </c>
      <c r="L67" s="476">
        <f>ROUND(SUM(L65:L66),0)</f>
        <v>0</v>
      </c>
      <c r="M67" s="159">
        <f t="shared" si="3"/>
        <v>0</v>
      </c>
      <c r="N67" s="225" t="s">
        <v>114</v>
      </c>
      <c r="O67" s="404"/>
      <c r="P67" s="36"/>
      <c r="Q67" s="62"/>
      <c r="R67" s="30"/>
      <c r="S67" s="31"/>
      <c r="T67" s="32"/>
    </row>
    <row r="68" spans="1:73" s="33" customFormat="1" outlineLevel="1" x14ac:dyDescent="0.2">
      <c r="A68" s="122" t="s">
        <v>102</v>
      </c>
      <c r="B68" s="385" t="s">
        <v>115</v>
      </c>
      <c r="C68" s="225"/>
      <c r="D68" s="650"/>
      <c r="E68" s="650"/>
      <c r="F68" s="635"/>
      <c r="G68" s="650"/>
      <c r="H68" s="291" t="s">
        <v>37</v>
      </c>
      <c r="I68" s="601"/>
      <c r="J68" s="635"/>
      <c r="K68" s="321"/>
      <c r="L68" s="291" t="s">
        <v>38</v>
      </c>
      <c r="M68" s="286"/>
      <c r="N68" s="225"/>
      <c r="O68" s="404"/>
      <c r="P68" s="36"/>
      <c r="Q68" s="62"/>
      <c r="R68" s="30"/>
      <c r="S68" s="31"/>
      <c r="T68" s="32"/>
    </row>
    <row r="69" spans="1:73" s="33" customFormat="1" outlineLevel="1" x14ac:dyDescent="0.2">
      <c r="A69" s="295" t="s">
        <v>104</v>
      </c>
      <c r="B69" s="306"/>
      <c r="C69" s="299"/>
      <c r="D69" s="224"/>
      <c r="E69" s="224"/>
      <c r="F69" s="634"/>
      <c r="G69" s="298"/>
      <c r="H69" s="112"/>
      <c r="I69" s="619"/>
      <c r="J69" s="634"/>
      <c r="K69" s="261"/>
      <c r="L69" s="112"/>
      <c r="M69" s="158">
        <f t="shared" ref="M69:M71" si="14">SUM(H69,L69)</f>
        <v>0</v>
      </c>
      <c r="N69" s="405" t="s">
        <v>104</v>
      </c>
      <c r="O69" s="404"/>
      <c r="P69" s="36"/>
      <c r="Q69" s="62"/>
      <c r="R69" s="30"/>
      <c r="S69" s="31"/>
      <c r="T69" s="32"/>
    </row>
    <row r="70" spans="1:73" s="33" customFormat="1" ht="13.5" outlineLevel="1" thickBot="1" x14ac:dyDescent="0.25">
      <c r="A70" s="295" t="s">
        <v>105</v>
      </c>
      <c r="B70" s="306"/>
      <c r="C70" s="651"/>
      <c r="D70" s="651"/>
      <c r="E70" s="651"/>
      <c r="F70" s="652"/>
      <c r="G70" s="651"/>
      <c r="H70" s="114"/>
      <c r="I70" s="619"/>
      <c r="J70" s="652"/>
      <c r="K70" s="261"/>
      <c r="L70" s="114"/>
      <c r="M70" s="158">
        <f t="shared" si="14"/>
        <v>0</v>
      </c>
      <c r="N70" s="405" t="s">
        <v>105</v>
      </c>
      <c r="O70" s="404"/>
      <c r="P70" s="36"/>
      <c r="Q70" s="62"/>
      <c r="R70" s="30"/>
      <c r="S70" s="31"/>
      <c r="T70" s="32"/>
    </row>
    <row r="71" spans="1:73" s="33" customFormat="1" ht="13.5" outlineLevel="1" thickBot="1" x14ac:dyDescent="0.25">
      <c r="A71" s="300" t="s">
        <v>116</v>
      </c>
      <c r="B71" s="307"/>
      <c r="C71" s="628"/>
      <c r="D71" s="629"/>
      <c r="E71" s="629"/>
      <c r="F71" s="632" t="s">
        <v>107</v>
      </c>
      <c r="G71" s="475">
        <f>IF(H71&gt;=25000,25000,H71)</f>
        <v>0</v>
      </c>
      <c r="H71" s="476">
        <f>ROUND(SUM(H69:H70),0)</f>
        <v>0</v>
      </c>
      <c r="I71" s="648"/>
      <c r="J71" s="632" t="s">
        <v>107</v>
      </c>
      <c r="K71" s="477">
        <f>IF((L71+G71)&gt;=25000,25000-G71,L71)</f>
        <v>0</v>
      </c>
      <c r="L71" s="476">
        <f>ROUND(SUM(L69:L70),0)</f>
        <v>0</v>
      </c>
      <c r="M71" s="159">
        <f t="shared" si="14"/>
        <v>0</v>
      </c>
      <c r="N71" s="225" t="s">
        <v>117</v>
      </c>
      <c r="O71" s="404"/>
      <c r="P71" s="36"/>
      <c r="Q71" s="62"/>
      <c r="R71" s="30"/>
      <c r="S71" s="31"/>
      <c r="T71" s="32"/>
    </row>
    <row r="72" spans="1:73" s="57" customFormat="1" ht="15" customHeight="1" outlineLevel="1" x14ac:dyDescent="0.2">
      <c r="A72" s="122" t="s">
        <v>102</v>
      </c>
      <c r="B72" s="385" t="s">
        <v>174</v>
      </c>
      <c r="C72" s="225"/>
      <c r="D72" s="650"/>
      <c r="E72" s="650"/>
      <c r="F72" s="635"/>
      <c r="G72" s="650"/>
      <c r="H72" s="291" t="s">
        <v>37</v>
      </c>
      <c r="I72" s="601"/>
      <c r="J72" s="635"/>
      <c r="K72" s="321"/>
      <c r="L72" s="291" t="s">
        <v>38</v>
      </c>
      <c r="M72" s="286"/>
      <c r="N72" s="406"/>
      <c r="O72" s="407"/>
      <c r="P72" s="46"/>
      <c r="Q72" s="46"/>
      <c r="R72" s="56"/>
      <c r="S72" s="43"/>
      <c r="T72" s="44"/>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row>
    <row r="73" spans="1:73" s="42" customFormat="1" outlineLevel="1" x14ac:dyDescent="0.2">
      <c r="A73" s="295" t="s">
        <v>104</v>
      </c>
      <c r="B73" s="306"/>
      <c r="C73" s="299"/>
      <c r="D73" s="224"/>
      <c r="E73" s="224"/>
      <c r="F73" s="634"/>
      <c r="G73" s="298"/>
      <c r="H73" s="112"/>
      <c r="I73" s="619"/>
      <c r="J73" s="634"/>
      <c r="K73" s="261"/>
      <c r="L73" s="112"/>
      <c r="M73" s="158">
        <f>SUM(H73,L73)</f>
        <v>0</v>
      </c>
      <c r="N73" s="405" t="s">
        <v>104</v>
      </c>
      <c r="O73" s="408"/>
      <c r="R73" s="41"/>
      <c r="S73" s="43"/>
      <c r="T73" s="44"/>
    </row>
    <row r="74" spans="1:73" s="39" customFormat="1" ht="13.5" outlineLevel="1" thickBot="1" x14ac:dyDescent="0.25">
      <c r="A74" s="295" t="s">
        <v>105</v>
      </c>
      <c r="B74" s="306"/>
      <c r="C74" s="299"/>
      <c r="D74" s="225"/>
      <c r="E74" s="225"/>
      <c r="F74" s="634"/>
      <c r="G74" s="298"/>
      <c r="H74" s="114"/>
      <c r="I74" s="619"/>
      <c r="J74" s="634"/>
      <c r="K74" s="261"/>
      <c r="L74" s="114"/>
      <c r="M74" s="158">
        <f t="shared" si="3"/>
        <v>0</v>
      </c>
      <c r="N74" s="405" t="s">
        <v>105</v>
      </c>
      <c r="O74" s="409"/>
      <c r="P74" s="45"/>
      <c r="Q74" s="46"/>
      <c r="R74" s="47"/>
      <c r="S74" s="37"/>
      <c r="T74" s="38"/>
    </row>
    <row r="75" spans="1:73" s="40" customFormat="1" ht="13.5" outlineLevel="1" thickBot="1" x14ac:dyDescent="0.25">
      <c r="A75" s="308" t="s">
        <v>175</v>
      </c>
      <c r="B75" s="309"/>
      <c r="C75" s="630"/>
      <c r="D75" s="631"/>
      <c r="E75" s="631"/>
      <c r="F75" s="636" t="s">
        <v>107</v>
      </c>
      <c r="G75" s="478">
        <f>IF(H75&gt;=25000,25000,H75)</f>
        <v>0</v>
      </c>
      <c r="H75" s="479">
        <f>ROUND(SUM(H73:H74),0)</f>
        <v>0</v>
      </c>
      <c r="I75" s="662"/>
      <c r="J75" s="636" t="s">
        <v>107</v>
      </c>
      <c r="K75" s="480">
        <f>IF((L75+G75)&gt;=25000,25000-G75,L75)</f>
        <v>0</v>
      </c>
      <c r="L75" s="479">
        <f>ROUND(SUM(L73:L74),0)</f>
        <v>0</v>
      </c>
      <c r="M75" s="160">
        <f t="shared" si="3"/>
        <v>0</v>
      </c>
      <c r="N75" s="225" t="s">
        <v>176</v>
      </c>
      <c r="O75" s="409"/>
      <c r="P75" s="45"/>
      <c r="Q75" s="46"/>
      <c r="R75" s="47"/>
      <c r="S75" s="37"/>
      <c r="T75" s="38"/>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row>
    <row r="76" spans="1:73" s="39" customFormat="1" ht="13.5" thickTop="1" x14ac:dyDescent="0.2">
      <c r="A76" s="161" t="s">
        <v>47</v>
      </c>
      <c r="B76" s="144"/>
      <c r="C76" s="711"/>
      <c r="D76" s="712"/>
      <c r="E76" s="712"/>
      <c r="F76" s="712"/>
      <c r="G76" s="712"/>
      <c r="H76" s="162" t="s">
        <v>37</v>
      </c>
      <c r="I76" s="162"/>
      <c r="J76" s="754"/>
      <c r="K76" s="755"/>
      <c r="L76" s="162" t="s">
        <v>38</v>
      </c>
      <c r="M76" s="164" t="s">
        <v>141</v>
      </c>
      <c r="N76" s="297"/>
      <c r="O76" s="409"/>
      <c r="P76" s="45"/>
      <c r="Q76" s="46"/>
      <c r="R76" s="47"/>
      <c r="S76" s="37"/>
      <c r="T76" s="38"/>
    </row>
    <row r="77" spans="1:73" x14ac:dyDescent="0.2">
      <c r="A77" s="683" t="s">
        <v>121</v>
      </c>
      <c r="B77" s="684"/>
      <c r="C77" s="684"/>
      <c r="D77" s="684"/>
      <c r="E77" s="684"/>
      <c r="F77" s="684"/>
      <c r="G77" s="685"/>
      <c r="H77" s="165">
        <f>SUM(H75,H67,H63,H59,H54,H42,H35,H32,H29,H71)</f>
        <v>0</v>
      </c>
      <c r="I77" s="605"/>
      <c r="J77" s="678" t="s">
        <v>120</v>
      </c>
      <c r="K77" s="679"/>
      <c r="L77" s="165">
        <f>SUM(L75,L67,L63,L59,L54,L42,L35,L32,L29,L71)</f>
        <v>0</v>
      </c>
      <c r="M77" s="166">
        <f>SUM(H77,L77)</f>
        <v>0</v>
      </c>
      <c r="N77" s="279" t="s">
        <v>121</v>
      </c>
      <c r="O77" s="394"/>
      <c r="P77" s="3"/>
      <c r="Q77" s="14"/>
      <c r="R77" s="2"/>
      <c r="S77" s="3"/>
      <c r="AA77" s="4"/>
      <c r="AB77" s="4"/>
      <c r="AC77" s="4"/>
    </row>
    <row r="78" spans="1:73" x14ac:dyDescent="0.2">
      <c r="A78" s="683" t="s">
        <v>122</v>
      </c>
      <c r="B78" s="684"/>
      <c r="C78" s="684"/>
      <c r="D78" s="684"/>
      <c r="E78" s="684"/>
      <c r="F78" s="684"/>
      <c r="G78" s="685"/>
      <c r="H78" s="167">
        <f>H77-H58-H62-H66-H74-H70</f>
        <v>0</v>
      </c>
      <c r="I78" s="605"/>
      <c r="J78" s="678" t="s">
        <v>167</v>
      </c>
      <c r="K78" s="679"/>
      <c r="L78" s="167">
        <f>L77-L58-L62-L66-L74-L70</f>
        <v>0</v>
      </c>
      <c r="M78" s="166">
        <f t="shared" si="3"/>
        <v>0</v>
      </c>
      <c r="N78" s="279" t="s">
        <v>124</v>
      </c>
      <c r="O78" s="394"/>
      <c r="P78" s="3"/>
      <c r="Q78" s="14"/>
      <c r="R78" s="2"/>
      <c r="S78" s="3"/>
      <c r="AA78" s="4"/>
      <c r="AB78" s="4"/>
      <c r="AC78" s="4"/>
    </row>
    <row r="79" spans="1:73" x14ac:dyDescent="0.2">
      <c r="A79" s="683" t="s">
        <v>125</v>
      </c>
      <c r="B79" s="684"/>
      <c r="C79" s="684"/>
      <c r="D79" s="684"/>
      <c r="E79" s="684"/>
      <c r="F79" s="684"/>
      <c r="G79" s="685"/>
      <c r="H79" s="167">
        <f>SUM(G75,G67,G63,G59,H54,H35,H29,G71)-SUM(H47:H48)</f>
        <v>0</v>
      </c>
      <c r="I79" s="605"/>
      <c r="J79" s="678" t="s">
        <v>126</v>
      </c>
      <c r="K79" s="679"/>
      <c r="L79" s="167">
        <f>SUM(K75,K67,K63,K59,L54,L35,L29,K71)-SUM(L47:L48)</f>
        <v>0</v>
      </c>
      <c r="M79" s="166">
        <f t="shared" si="3"/>
        <v>0</v>
      </c>
      <c r="N79" s="279" t="s">
        <v>125</v>
      </c>
      <c r="O79" s="394"/>
      <c r="P79" s="3"/>
      <c r="Q79" s="14"/>
      <c r="R79" s="2"/>
      <c r="S79" s="3"/>
      <c r="AA79" s="4"/>
      <c r="AB79" s="4"/>
      <c r="AC79" s="4"/>
    </row>
    <row r="80" spans="1:73" ht="13.5" thickBot="1" x14ac:dyDescent="0.25">
      <c r="A80" s="686" t="s">
        <v>129</v>
      </c>
      <c r="B80" s="687"/>
      <c r="C80" s="687"/>
      <c r="D80" s="687"/>
      <c r="E80" s="687"/>
      <c r="F80" s="687"/>
      <c r="G80" s="688"/>
      <c r="H80" s="168">
        <f>ROUND(H79*$L$9,0)</f>
        <v>0</v>
      </c>
      <c r="I80" s="606"/>
      <c r="J80" s="678" t="s">
        <v>128</v>
      </c>
      <c r="K80" s="679"/>
      <c r="L80" s="168">
        <f>ROUND(L79*$L$9,0)</f>
        <v>0</v>
      </c>
      <c r="M80" s="166">
        <f t="shared" si="3"/>
        <v>0</v>
      </c>
      <c r="N80" s="279" t="s">
        <v>129</v>
      </c>
      <c r="O80" s="394"/>
      <c r="P80" s="3"/>
      <c r="Q80" s="14"/>
      <c r="R80" s="2"/>
      <c r="S80" s="3"/>
      <c r="AA80" s="4"/>
      <c r="AB80" s="4"/>
      <c r="AC80" s="4"/>
    </row>
    <row r="81" spans="1:29" s="10" customFormat="1" ht="13.5" thickBot="1" x14ac:dyDescent="0.25">
      <c r="A81" s="680" t="s">
        <v>130</v>
      </c>
      <c r="B81" s="681"/>
      <c r="C81" s="681"/>
      <c r="D81" s="681"/>
      <c r="E81" s="681"/>
      <c r="F81" s="681"/>
      <c r="G81" s="682"/>
      <c r="H81" s="159">
        <f>H77+H80</f>
        <v>0</v>
      </c>
      <c r="I81" s="607"/>
      <c r="J81" s="676" t="s">
        <v>130</v>
      </c>
      <c r="K81" s="677"/>
      <c r="L81" s="159">
        <f>L77+L80</f>
        <v>0</v>
      </c>
      <c r="M81" s="169">
        <f t="shared" si="3"/>
        <v>0</v>
      </c>
      <c r="N81" s="410" t="s">
        <v>130</v>
      </c>
      <c r="O81" s="411"/>
      <c r="Q81" s="48"/>
      <c r="R81" s="9"/>
    </row>
    <row r="82" spans="1:29" s="10" customFormat="1" ht="13.5" thickBot="1" x14ac:dyDescent="0.25">
      <c r="A82" s="334"/>
      <c r="B82" s="334"/>
      <c r="C82" s="334"/>
      <c r="D82" s="334"/>
      <c r="E82" s="334"/>
      <c r="F82" s="334"/>
      <c r="G82" s="334"/>
      <c r="H82" s="335"/>
      <c r="I82" s="335"/>
      <c r="J82" s="370"/>
      <c r="K82" s="370"/>
      <c r="L82" s="335"/>
      <c r="M82" s="335"/>
      <c r="N82" s="65"/>
      <c r="Q82" s="48"/>
      <c r="R82" s="9"/>
    </row>
    <row r="83" spans="1:29" s="10" customFormat="1" x14ac:dyDescent="0.2">
      <c r="A83" s="573" t="s">
        <v>140</v>
      </c>
      <c r="B83" s="540"/>
      <c r="C83" s="540"/>
      <c r="D83" s="540"/>
      <c r="E83" s="540"/>
      <c r="F83" s="540"/>
      <c r="G83" s="540"/>
      <c r="H83" s="525" t="s">
        <v>37</v>
      </c>
      <c r="I83" s="525"/>
      <c r="J83" s="525"/>
      <c r="K83" s="525"/>
      <c r="L83" s="525" t="s">
        <v>38</v>
      </c>
      <c r="M83" s="525" t="s">
        <v>141</v>
      </c>
      <c r="N83" s="540"/>
      <c r="O83" s="541"/>
      <c r="P83" s="421"/>
      <c r="Q83" s="422"/>
      <c r="R83" s="423"/>
      <c r="S83" s="421"/>
      <c r="T83" s="386"/>
    </row>
    <row r="84" spans="1:29" x14ac:dyDescent="0.2">
      <c r="A84" s="532"/>
      <c r="B84" s="485"/>
      <c r="C84" s="485"/>
      <c r="D84" s="485"/>
      <c r="E84" s="485"/>
      <c r="F84" s="485"/>
      <c r="G84" s="486" t="s">
        <v>142</v>
      </c>
      <c r="H84" s="511">
        <f>H90*25000</f>
        <v>0</v>
      </c>
      <c r="I84" s="487"/>
      <c r="J84" s="542"/>
      <c r="K84" s="488" t="s">
        <v>143</v>
      </c>
      <c r="L84" s="511">
        <f>L90*25000</f>
        <v>0</v>
      </c>
      <c r="M84" s="543">
        <f t="shared" ref="M84:M89" si="15">H84+L84</f>
        <v>0</v>
      </c>
      <c r="N84" s="544" t="s">
        <v>142</v>
      </c>
      <c r="O84" s="545"/>
      <c r="P84" s="98"/>
      <c r="Q84" s="98"/>
      <c r="R84" s="98"/>
      <c r="S84" s="98"/>
      <c r="T84" s="322"/>
      <c r="AA84" s="4"/>
      <c r="AB84" s="4"/>
      <c r="AC84" s="4"/>
    </row>
    <row r="85" spans="1:29" x14ac:dyDescent="0.2">
      <c r="A85" s="532"/>
      <c r="B85" s="485"/>
      <c r="C85" s="485"/>
      <c r="D85" s="485"/>
      <c r="E85" s="485"/>
      <c r="F85" s="485"/>
      <c r="G85" s="486" t="s">
        <v>144</v>
      </c>
      <c r="H85" s="512">
        <f>SUM(H58,H62,H66,H74)</f>
        <v>0</v>
      </c>
      <c r="I85" s="487"/>
      <c r="J85" s="542"/>
      <c r="K85" s="488" t="s">
        <v>145</v>
      </c>
      <c r="L85" s="512">
        <f>SUM(L58,L62,L66,L74)</f>
        <v>0</v>
      </c>
      <c r="M85" s="546">
        <f t="shared" si="15"/>
        <v>0</v>
      </c>
      <c r="N85" s="544" t="s">
        <v>144</v>
      </c>
      <c r="O85" s="545"/>
      <c r="P85" s="98"/>
      <c r="Q85" s="98"/>
      <c r="R85" s="98"/>
      <c r="S85" s="98"/>
      <c r="T85" s="322"/>
      <c r="AA85" s="4"/>
      <c r="AB85" s="4"/>
      <c r="AC85" s="4"/>
    </row>
    <row r="86" spans="1:29" s="7" customFormat="1" x14ac:dyDescent="0.2">
      <c r="A86" s="547"/>
      <c r="B86" s="485"/>
      <c r="C86" s="485"/>
      <c r="D86" s="485"/>
      <c r="E86" s="485"/>
      <c r="F86" s="485"/>
      <c r="G86" s="486" t="s">
        <v>121</v>
      </c>
      <c r="H86" s="512">
        <f>(H90*25000)+H85</f>
        <v>0</v>
      </c>
      <c r="I86" s="487"/>
      <c r="J86" s="542"/>
      <c r="K86" s="488" t="s">
        <v>146</v>
      </c>
      <c r="L86" s="512">
        <f>(L90*25000)+L85</f>
        <v>0</v>
      </c>
      <c r="M86" s="548">
        <f t="shared" si="15"/>
        <v>0</v>
      </c>
      <c r="N86" s="544" t="s">
        <v>121</v>
      </c>
      <c r="O86" s="549"/>
      <c r="P86" s="98"/>
      <c r="Q86" s="98"/>
      <c r="R86" s="98"/>
      <c r="S86" s="98"/>
      <c r="T86" s="371"/>
    </row>
    <row r="87" spans="1:29" s="7" customFormat="1" x14ac:dyDescent="0.2">
      <c r="A87" s="547"/>
      <c r="B87" s="485"/>
      <c r="C87" s="485"/>
      <c r="D87" s="485"/>
      <c r="E87" s="485"/>
      <c r="F87" s="485"/>
      <c r="G87" s="486" t="s">
        <v>147</v>
      </c>
      <c r="H87" s="512">
        <f>H86-H91</f>
        <v>0</v>
      </c>
      <c r="I87" s="487"/>
      <c r="J87" s="542"/>
      <c r="K87" s="488" t="s">
        <v>148</v>
      </c>
      <c r="L87" s="512">
        <f>L86-L91</f>
        <v>0</v>
      </c>
      <c r="M87" s="548">
        <f t="shared" si="15"/>
        <v>0</v>
      </c>
      <c r="N87" s="544" t="s">
        <v>147</v>
      </c>
      <c r="O87" s="549"/>
      <c r="P87" s="98"/>
      <c r="Q87" s="98"/>
      <c r="R87" s="98"/>
      <c r="S87" s="98"/>
      <c r="T87" s="371"/>
    </row>
    <row r="88" spans="1:29" x14ac:dyDescent="0.2">
      <c r="A88" s="532"/>
      <c r="B88" s="485"/>
      <c r="C88" s="485"/>
      <c r="D88" s="485"/>
      <c r="E88" s="485"/>
      <c r="F88" s="485"/>
      <c r="G88" s="486" t="s">
        <v>149</v>
      </c>
      <c r="H88" s="512">
        <f>ROUND(H87*$L$9,0)</f>
        <v>0</v>
      </c>
      <c r="I88" s="487"/>
      <c r="J88" s="542"/>
      <c r="K88" s="488" t="s">
        <v>150</v>
      </c>
      <c r="L88" s="512">
        <f>ROUND(L87*$L$9,0)</f>
        <v>0</v>
      </c>
      <c r="M88" s="548">
        <f t="shared" si="15"/>
        <v>0</v>
      </c>
      <c r="N88" s="544" t="s">
        <v>149</v>
      </c>
      <c r="O88" s="545"/>
      <c r="P88" s="98"/>
      <c r="Q88" s="98"/>
      <c r="R88" s="98"/>
      <c r="S88" s="98"/>
      <c r="T88" s="322"/>
      <c r="AA88" s="4"/>
      <c r="AB88" s="4"/>
      <c r="AC88" s="4"/>
    </row>
    <row r="89" spans="1:29" x14ac:dyDescent="0.2">
      <c r="A89" s="532"/>
      <c r="B89" s="485"/>
      <c r="C89" s="485"/>
      <c r="D89" s="485"/>
      <c r="E89" s="485"/>
      <c r="F89" s="485"/>
      <c r="G89" s="486" t="s">
        <v>151</v>
      </c>
      <c r="H89" s="513">
        <f>SUM(H86,H88)</f>
        <v>0</v>
      </c>
      <c r="I89" s="487"/>
      <c r="J89" s="542"/>
      <c r="K89" s="488" t="s">
        <v>152</v>
      </c>
      <c r="L89" s="513">
        <f>SUM(L86,L88)</f>
        <v>0</v>
      </c>
      <c r="M89" s="548">
        <f t="shared" si="15"/>
        <v>0</v>
      </c>
      <c r="N89" s="544" t="s">
        <v>151</v>
      </c>
      <c r="O89" s="545"/>
      <c r="P89" s="98"/>
      <c r="Q89" s="98"/>
      <c r="R89" s="98"/>
      <c r="S89" s="98"/>
      <c r="T89" s="322"/>
      <c r="AA89" s="4"/>
      <c r="AB89" s="4"/>
      <c r="AC89" s="4"/>
    </row>
    <row r="90" spans="1:29" s="50" customFormat="1" x14ac:dyDescent="0.2">
      <c r="A90" s="550"/>
      <c r="B90" s="551"/>
      <c r="C90" s="551"/>
      <c r="D90" s="751" t="s">
        <v>153</v>
      </c>
      <c r="E90" s="752"/>
      <c r="F90" s="752"/>
      <c r="G90" s="493"/>
      <c r="H90" s="494">
        <f>ROUNDUP((H78/25000),0)</f>
        <v>0</v>
      </c>
      <c r="I90" s="494"/>
      <c r="J90" s="494"/>
      <c r="K90" s="493"/>
      <c r="L90" s="497">
        <f>ROUNDUP((L78/25000),0)</f>
        <v>0</v>
      </c>
      <c r="M90" s="552"/>
      <c r="N90" s="553"/>
      <c r="O90" s="554"/>
      <c r="P90" s="97"/>
      <c r="Q90" s="388"/>
      <c r="R90" s="373"/>
      <c r="S90" s="372"/>
      <c r="T90" s="322"/>
    </row>
    <row r="91" spans="1:29" s="55" customFormat="1" ht="13.5" thickBot="1" x14ac:dyDescent="0.25">
      <c r="A91" s="555"/>
      <c r="B91" s="556"/>
      <c r="C91" s="556"/>
      <c r="D91" s="848" t="s">
        <v>154</v>
      </c>
      <c r="E91" s="849"/>
      <c r="F91" s="849"/>
      <c r="G91" s="557"/>
      <c r="H91" s="558">
        <f>H77-H79</f>
        <v>0</v>
      </c>
      <c r="I91" s="558"/>
      <c r="J91" s="558"/>
      <c r="K91" s="557"/>
      <c r="L91" s="559">
        <f>L77-L79</f>
        <v>0</v>
      </c>
      <c r="M91" s="560"/>
      <c r="N91" s="556"/>
      <c r="O91" s="561"/>
      <c r="P91" s="98"/>
      <c r="Q91" s="387"/>
      <c r="R91" s="423"/>
      <c r="S91" s="421"/>
      <c r="T91" s="371"/>
    </row>
    <row r="92" spans="1:29" x14ac:dyDescent="0.2">
      <c r="M92" s="97"/>
    </row>
    <row r="93" spans="1:29" ht="13.5" thickBot="1" x14ac:dyDescent="0.25">
      <c r="H93" s="79"/>
      <c r="I93" s="79"/>
      <c r="P93" s="79"/>
    </row>
    <row r="94" spans="1:29" outlineLevel="1" x14ac:dyDescent="0.2">
      <c r="A94" s="67" t="s">
        <v>131</v>
      </c>
      <c r="B94" s="68"/>
      <c r="C94" s="68"/>
      <c r="D94" s="68"/>
      <c r="E94" s="68"/>
      <c r="F94" s="68"/>
      <c r="G94" s="68"/>
      <c r="H94" s="69" t="s">
        <v>37</v>
      </c>
      <c r="I94" s="69"/>
      <c r="J94" s="68"/>
      <c r="K94" s="68"/>
      <c r="L94" s="87" t="s">
        <v>38</v>
      </c>
    </row>
    <row r="95" spans="1:29" outlineLevel="1" x14ac:dyDescent="0.2">
      <c r="A95" s="70"/>
      <c r="B95" s="71"/>
      <c r="C95" s="71"/>
      <c r="D95" s="71"/>
      <c r="E95" s="71"/>
      <c r="F95" s="71"/>
      <c r="G95" s="72" t="s">
        <v>132</v>
      </c>
      <c r="H95" s="73">
        <f>H87</f>
        <v>0</v>
      </c>
      <c r="I95" s="73"/>
      <c r="J95" s="92"/>
      <c r="K95" s="93" t="s">
        <v>132</v>
      </c>
      <c r="L95" s="88">
        <f>L87</f>
        <v>0</v>
      </c>
    </row>
    <row r="96" spans="1:29" outlineLevel="1" x14ac:dyDescent="0.2">
      <c r="A96" s="70"/>
      <c r="B96" s="71"/>
      <c r="C96" s="71"/>
      <c r="D96" s="71"/>
      <c r="E96" s="71"/>
      <c r="F96" s="71"/>
      <c r="G96" s="72" t="s">
        <v>133</v>
      </c>
      <c r="H96" s="73">
        <f>H32</f>
        <v>0</v>
      </c>
      <c r="I96" s="73"/>
      <c r="J96" s="92"/>
      <c r="K96" s="93" t="s">
        <v>133</v>
      </c>
      <c r="L96" s="88">
        <f>L32</f>
        <v>0</v>
      </c>
    </row>
    <row r="97" spans="1:31" outlineLevel="1" x14ac:dyDescent="0.2">
      <c r="A97" s="70"/>
      <c r="B97" s="90"/>
      <c r="C97" s="90"/>
      <c r="D97" s="90"/>
      <c r="E97" s="90"/>
      <c r="F97" s="90"/>
      <c r="G97" s="72" t="s">
        <v>134</v>
      </c>
      <c r="H97" s="73">
        <f>H42</f>
        <v>0</v>
      </c>
      <c r="I97" s="73"/>
      <c r="J97" s="94"/>
      <c r="K97" s="93" t="s">
        <v>134</v>
      </c>
      <c r="L97" s="88">
        <f>L42</f>
        <v>0</v>
      </c>
    </row>
    <row r="98" spans="1:31" outlineLevel="1" x14ac:dyDescent="0.2">
      <c r="A98" s="70"/>
      <c r="B98" s="71"/>
      <c r="C98" s="71"/>
      <c r="D98" s="71"/>
      <c r="E98" s="71"/>
      <c r="F98" s="71"/>
      <c r="G98" s="72" t="s">
        <v>135</v>
      </c>
      <c r="H98" s="73">
        <f>H47</f>
        <v>0</v>
      </c>
      <c r="I98" s="73"/>
      <c r="J98" s="92"/>
      <c r="K98" s="93" t="s">
        <v>135</v>
      </c>
      <c r="L98" s="88">
        <f>L47</f>
        <v>0</v>
      </c>
    </row>
    <row r="99" spans="1:31" ht="13.5" outlineLevel="1" thickBot="1" x14ac:dyDescent="0.25">
      <c r="A99" s="75"/>
      <c r="B99" s="76"/>
      <c r="C99" s="76"/>
      <c r="D99" s="76"/>
      <c r="E99" s="76"/>
      <c r="F99" s="76"/>
      <c r="G99" s="77" t="s">
        <v>136</v>
      </c>
      <c r="H99" s="78">
        <f>(SUM(H59,H63,H67,H75))-(SUM(G59,G63,G67,G75))</f>
        <v>0</v>
      </c>
      <c r="I99" s="78"/>
      <c r="J99" s="95"/>
      <c r="K99" s="96" t="s">
        <v>136</v>
      </c>
      <c r="L99" s="89">
        <f>(SUM(L59,L63,L67,L75))-(SUM(K59,K63,K67,K75))</f>
        <v>0</v>
      </c>
    </row>
    <row r="102" spans="1:31" outlineLevel="1" x14ac:dyDescent="0.2">
      <c r="A102" s="664" t="s">
        <v>194</v>
      </c>
      <c r="AA102" s="4"/>
      <c r="AB102" s="4"/>
      <c r="AC102" s="1"/>
      <c r="AD102" s="2"/>
      <c r="AE102" s="3"/>
    </row>
    <row r="103" spans="1:31" ht="13.5" outlineLevel="1" thickBot="1" x14ac:dyDescent="0.25">
      <c r="A103" s="716" t="s">
        <v>36</v>
      </c>
      <c r="B103" s="353"/>
      <c r="C103" s="353"/>
      <c r="D103" s="353"/>
      <c r="E103" s="695" t="s">
        <v>37</v>
      </c>
      <c r="F103" s="695"/>
      <c r="G103" s="695"/>
      <c r="H103" s="695"/>
      <c r="I103" s="695" t="s">
        <v>38</v>
      </c>
      <c r="J103" s="695"/>
      <c r="K103" s="695"/>
      <c r="L103" s="695"/>
      <c r="M103" s="354"/>
      <c r="N103" s="331"/>
      <c r="AA103" s="4"/>
      <c r="AB103" s="4"/>
      <c r="AC103" s="1"/>
      <c r="AD103" s="2"/>
      <c r="AE103" s="3"/>
    </row>
    <row r="104" spans="1:31" ht="15.75" customHeight="1" outlineLevel="1" x14ac:dyDescent="0.2">
      <c r="A104" s="716"/>
      <c r="B104" s="717" t="s">
        <v>188</v>
      </c>
      <c r="C104" s="719" t="s">
        <v>42</v>
      </c>
      <c r="D104" s="721" t="s">
        <v>43</v>
      </c>
      <c r="E104" s="696" t="s">
        <v>189</v>
      </c>
      <c r="F104" s="704" t="s">
        <v>195</v>
      </c>
      <c r="G104" s="704" t="s">
        <v>196</v>
      </c>
      <c r="H104" s="721" t="s">
        <v>197</v>
      </c>
      <c r="I104" s="696" t="s">
        <v>190</v>
      </c>
      <c r="J104" s="704" t="s">
        <v>195</v>
      </c>
      <c r="K104" s="704" t="s">
        <v>196</v>
      </c>
      <c r="L104" s="721" t="s">
        <v>197</v>
      </c>
      <c r="M104" s="700" t="s">
        <v>47</v>
      </c>
      <c r="N104" s="339"/>
      <c r="AA104" s="4"/>
      <c r="AB104" s="4"/>
      <c r="AC104" s="4"/>
    </row>
    <row r="105" spans="1:31" s="11" customFormat="1" outlineLevel="1" x14ac:dyDescent="0.2">
      <c r="A105" s="443" t="s">
        <v>48</v>
      </c>
      <c r="B105" s="718"/>
      <c r="C105" s="720"/>
      <c r="D105" s="722"/>
      <c r="E105" s="697"/>
      <c r="F105" s="705"/>
      <c r="G105" s="705"/>
      <c r="H105" s="722"/>
      <c r="I105" s="697"/>
      <c r="J105" s="705"/>
      <c r="K105" s="705"/>
      <c r="L105" s="722"/>
      <c r="M105" s="701"/>
      <c r="N105" s="340"/>
    </row>
    <row r="106" spans="1:31" outlineLevel="1" x14ac:dyDescent="0.2">
      <c r="A106" s="442" t="s">
        <v>49</v>
      </c>
      <c r="B106" s="718"/>
      <c r="C106" s="720"/>
      <c r="D106" s="722"/>
      <c r="E106" s="697"/>
      <c r="F106" s="705"/>
      <c r="G106" s="705"/>
      <c r="H106" s="722"/>
      <c r="I106" s="697"/>
      <c r="J106" s="705"/>
      <c r="K106" s="705"/>
      <c r="L106" s="722"/>
      <c r="M106" s="701"/>
      <c r="N106" s="337" t="s">
        <v>50</v>
      </c>
      <c r="AA106" s="4"/>
      <c r="AB106" s="4"/>
      <c r="AC106" s="1"/>
      <c r="AD106" s="2"/>
      <c r="AE106" s="3"/>
    </row>
    <row r="107" spans="1:31" outlineLevel="1" x14ac:dyDescent="0.2">
      <c r="A107" s="111" t="s">
        <v>51</v>
      </c>
      <c r="B107" s="112">
        <f>B18</f>
        <v>0</v>
      </c>
      <c r="C107" s="602">
        <f>C18</f>
        <v>0</v>
      </c>
      <c r="D107" s="640">
        <f>9*C107</f>
        <v>0</v>
      </c>
      <c r="E107" s="638">
        <f>B107*(1+$H$13)</f>
        <v>0</v>
      </c>
      <c r="F107" s="175">
        <f>IF(E107&gt;($L$2*9),(($C$107*E107)-F18),0)</f>
        <v>0</v>
      </c>
      <c r="G107" s="175">
        <f>ROUND(F107*$L$5,0)</f>
        <v>0</v>
      </c>
      <c r="H107" s="176">
        <f>ROUND(SUM(F107:G107),0)</f>
        <v>0</v>
      </c>
      <c r="I107" s="638">
        <f>IF($B$10&gt;1,B107*(1+$H$13)*(1+$L$13),0)</f>
        <v>0</v>
      </c>
      <c r="J107" s="175">
        <f>IF(I107&gt;($L$2*9),(($C$107*I107)-J18),0)</f>
        <v>0</v>
      </c>
      <c r="K107" s="175">
        <f>ROUND(J107*$L$5,0)</f>
        <v>0</v>
      </c>
      <c r="L107" s="176">
        <f t="shared" ref="L107:L110" si="16">ROUND(SUM(J107:K107),0)</f>
        <v>0</v>
      </c>
      <c r="M107" s="355">
        <f>ROUND(SUM(H107,L107),0)</f>
        <v>0</v>
      </c>
      <c r="N107" s="341" t="s">
        <v>51</v>
      </c>
      <c r="AA107" s="4"/>
      <c r="AB107" s="4"/>
      <c r="AC107" s="1"/>
      <c r="AD107" s="2"/>
      <c r="AE107" s="3"/>
    </row>
    <row r="108" spans="1:31" outlineLevel="1" x14ac:dyDescent="0.2">
      <c r="A108" s="113" t="s">
        <v>52</v>
      </c>
      <c r="B108" s="665">
        <f t="shared" ref="B108:C111" si="17">B19</f>
        <v>0</v>
      </c>
      <c r="C108" s="602">
        <f t="shared" si="17"/>
        <v>0</v>
      </c>
      <c r="D108" s="640">
        <f>3*C108</f>
        <v>0</v>
      </c>
      <c r="E108" s="638">
        <f>B108*(1+$H$13)</f>
        <v>0</v>
      </c>
      <c r="F108" s="175">
        <f>IF(E108&gt;($L$2*3),(($C$108*E108)-F19),0)</f>
        <v>0</v>
      </c>
      <c r="G108" s="175">
        <f>ROUND(F108*$L$8,0)</f>
        <v>0</v>
      </c>
      <c r="H108" s="176">
        <f t="shared" ref="H108:H111" si="18">ROUND(SUM(F108:G108),0)</f>
        <v>0</v>
      </c>
      <c r="I108" s="638">
        <f t="shared" ref="I108:I111" si="19">IF($B$10&gt;1,B108*(1+$H$13)*(1+$L$13),0)</f>
        <v>0</v>
      </c>
      <c r="J108" s="175">
        <f>IF(I108&gt;($L$2*3),(($C$108*I108)-J19),0)</f>
        <v>0</v>
      </c>
      <c r="K108" s="175">
        <f>ROUND(J108*$L$8,0)</f>
        <v>0</v>
      </c>
      <c r="L108" s="176">
        <f t="shared" si="16"/>
        <v>0</v>
      </c>
      <c r="M108" s="355">
        <f t="shared" ref="M108:M111" si="20">ROUND(SUM(H108,L108),0)</f>
        <v>0</v>
      </c>
      <c r="N108" s="341" t="s">
        <v>52</v>
      </c>
      <c r="AA108" s="4"/>
      <c r="AB108" s="4"/>
      <c r="AC108" s="1"/>
      <c r="AD108" s="2"/>
      <c r="AE108" s="3"/>
    </row>
    <row r="109" spans="1:31" outlineLevel="1" x14ac:dyDescent="0.2">
      <c r="A109" s="113" t="s">
        <v>53</v>
      </c>
      <c r="B109" s="112">
        <f t="shared" si="17"/>
        <v>0</v>
      </c>
      <c r="C109" s="602">
        <f t="shared" si="17"/>
        <v>0</v>
      </c>
      <c r="D109" s="640">
        <f>10*C109</f>
        <v>0</v>
      </c>
      <c r="E109" s="638">
        <f>B109*(1+$H$13)</f>
        <v>0</v>
      </c>
      <c r="F109" s="175">
        <f>IF(E109&gt;($L$2*10),(($C$109*E109)-F20),0)</f>
        <v>0</v>
      </c>
      <c r="G109" s="175">
        <f>ROUND(F109*$L$5,0)</f>
        <v>0</v>
      </c>
      <c r="H109" s="176">
        <f t="shared" si="18"/>
        <v>0</v>
      </c>
      <c r="I109" s="638">
        <f t="shared" si="19"/>
        <v>0</v>
      </c>
      <c r="J109" s="175">
        <f>IF(I109&gt;($L$2*10),(($C$109*I109)-J20),0)</f>
        <v>0</v>
      </c>
      <c r="K109" s="175">
        <f>ROUND(J109*$L$5,0)</f>
        <v>0</v>
      </c>
      <c r="L109" s="176">
        <f t="shared" si="16"/>
        <v>0</v>
      </c>
      <c r="M109" s="355">
        <f t="shared" si="20"/>
        <v>0</v>
      </c>
      <c r="N109" s="341" t="s">
        <v>53</v>
      </c>
      <c r="AA109" s="4"/>
      <c r="AB109" s="4"/>
      <c r="AC109" s="1"/>
      <c r="AD109" s="2"/>
      <c r="AE109" s="3"/>
    </row>
    <row r="110" spans="1:31" outlineLevel="1" x14ac:dyDescent="0.2">
      <c r="A110" s="113" t="s">
        <v>54</v>
      </c>
      <c r="B110" s="665">
        <f t="shared" si="17"/>
        <v>0</v>
      </c>
      <c r="C110" s="602">
        <f t="shared" si="17"/>
        <v>0</v>
      </c>
      <c r="D110" s="640">
        <f>2*C110</f>
        <v>0</v>
      </c>
      <c r="E110" s="638">
        <f t="shared" ref="E110:E111" si="21">B110*(1+$H$13)</f>
        <v>0</v>
      </c>
      <c r="F110" s="175">
        <f>IF(E110&gt;($L$2*2),(($C$110*E110)-F21),0)</f>
        <v>0</v>
      </c>
      <c r="G110" s="175">
        <f>ROUND(F110*$L$8,0)</f>
        <v>0</v>
      </c>
      <c r="H110" s="176">
        <f t="shared" si="18"/>
        <v>0</v>
      </c>
      <c r="I110" s="638">
        <f t="shared" si="19"/>
        <v>0</v>
      </c>
      <c r="J110" s="175">
        <f>IF(I110&gt;($L$2*2),(($C$110*I110)-J21),0)</f>
        <v>0</v>
      </c>
      <c r="K110" s="175">
        <f>ROUND(J110*$L$8,0)</f>
        <v>0</v>
      </c>
      <c r="L110" s="176">
        <f t="shared" si="16"/>
        <v>0</v>
      </c>
      <c r="M110" s="355">
        <f t="shared" si="20"/>
        <v>0</v>
      </c>
      <c r="N110" s="341" t="s">
        <v>54</v>
      </c>
      <c r="AA110" s="4"/>
      <c r="AB110" s="4"/>
      <c r="AC110" s="1"/>
      <c r="AD110" s="2"/>
      <c r="AE110" s="3"/>
    </row>
    <row r="111" spans="1:31" outlineLevel="1" x14ac:dyDescent="0.2">
      <c r="A111" s="113" t="s">
        <v>55</v>
      </c>
      <c r="B111" s="112">
        <f t="shared" si="17"/>
        <v>0</v>
      </c>
      <c r="C111" s="602">
        <f t="shared" si="17"/>
        <v>0</v>
      </c>
      <c r="D111" s="640">
        <f t="shared" ref="D111" si="22">12*C111</f>
        <v>0</v>
      </c>
      <c r="E111" s="638">
        <f t="shared" si="21"/>
        <v>0</v>
      </c>
      <c r="F111" s="175">
        <f>IF(E111&gt;$L$3,(($C$111*E111)-F22),0)</f>
        <v>0</v>
      </c>
      <c r="G111" s="175">
        <f>ROUND(F111*$L$5,0)</f>
        <v>0</v>
      </c>
      <c r="H111" s="176">
        <f t="shared" si="18"/>
        <v>0</v>
      </c>
      <c r="I111" s="638">
        <f t="shared" si="19"/>
        <v>0</v>
      </c>
      <c r="J111" s="175">
        <f>IF(I111&gt;$L$3,(($C$111*I111)-J22),0)</f>
        <v>0</v>
      </c>
      <c r="K111" s="175">
        <f>ROUND(J111*$L$5,0)</f>
        <v>0</v>
      </c>
      <c r="L111" s="176">
        <f t="shared" ref="L111" si="23">ROUND(SUM(J111:K111),0)</f>
        <v>0</v>
      </c>
      <c r="M111" s="355">
        <f t="shared" si="20"/>
        <v>0</v>
      </c>
      <c r="N111" s="341" t="s">
        <v>55</v>
      </c>
      <c r="AA111" s="4"/>
      <c r="AB111" s="4"/>
      <c r="AC111" s="1"/>
      <c r="AD111" s="2"/>
      <c r="AE111" s="3"/>
    </row>
  </sheetData>
  <sheetProtection sheet="1" objects="1" scenarios="1"/>
  <mergeCells count="62">
    <mergeCell ref="M104:M106"/>
    <mergeCell ref="B104:B106"/>
    <mergeCell ref="C104:C106"/>
    <mergeCell ref="D104:D106"/>
    <mergeCell ref="E104:E106"/>
    <mergeCell ref="F104:F106"/>
    <mergeCell ref="G104:G106"/>
    <mergeCell ref="H104:H106"/>
    <mergeCell ref="I104:I106"/>
    <mergeCell ref="J104:J106"/>
    <mergeCell ref="K104:K106"/>
    <mergeCell ref="L104:L106"/>
    <mergeCell ref="A103:A104"/>
    <mergeCell ref="E103:H103"/>
    <mergeCell ref="I103:L103"/>
    <mergeCell ref="A1:I3"/>
    <mergeCell ref="E15:E17"/>
    <mergeCell ref="E14:H14"/>
    <mergeCell ref="I14:L14"/>
    <mergeCell ref="I15:I17"/>
    <mergeCell ref="J1:L1"/>
    <mergeCell ref="J4:L4"/>
    <mergeCell ref="D33:G33"/>
    <mergeCell ref="J33:K33"/>
    <mergeCell ref="D34:G34"/>
    <mergeCell ref="J34:K34"/>
    <mergeCell ref="D32:G32"/>
    <mergeCell ref="J32:K32"/>
    <mergeCell ref="M1:O4"/>
    <mergeCell ref="M15:M17"/>
    <mergeCell ref="A14:A15"/>
    <mergeCell ref="H15:H17"/>
    <mergeCell ref="C15:C17"/>
    <mergeCell ref="B15:B17"/>
    <mergeCell ref="D15:D17"/>
    <mergeCell ref="F15:F17"/>
    <mergeCell ref="G15:G17"/>
    <mergeCell ref="A12:B12"/>
    <mergeCell ref="C10:G10"/>
    <mergeCell ref="L15:L17"/>
    <mergeCell ref="A13:G13"/>
    <mergeCell ref="J13:K13"/>
    <mergeCell ref="J15:J17"/>
    <mergeCell ref="K15:K17"/>
    <mergeCell ref="C56:G56"/>
    <mergeCell ref="C36:F36"/>
    <mergeCell ref="B43:G43"/>
    <mergeCell ref="B55:G55"/>
    <mergeCell ref="A77:G77"/>
    <mergeCell ref="J77:K77"/>
    <mergeCell ref="A78:G78"/>
    <mergeCell ref="J78:K78"/>
    <mergeCell ref="C76:G76"/>
    <mergeCell ref="J76:K76"/>
    <mergeCell ref="A81:G81"/>
    <mergeCell ref="J81:K81"/>
    <mergeCell ref="D90:F90"/>
    <mergeCell ref="D91:F91"/>
    <mergeCell ref="A79:G79"/>
    <mergeCell ref="J79:K79"/>
    <mergeCell ref="A80:G80"/>
    <mergeCell ref="J80:K80"/>
  </mergeCells>
  <conditionalFormatting sqref="Q53">
    <cfRule type="cellIs" dxfId="1" priority="1" operator="lessThan">
      <formula>0.02</formula>
    </cfRule>
  </conditionalFormatting>
  <pageMargins left="0.7" right="0.7" top="0.75" bottom="0.75" header="0.3" footer="0.3"/>
  <pageSetup scale="2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111"/>
  <sheetViews>
    <sheetView tabSelected="1" topLeftCell="A20" zoomScaleNormal="100" workbookViewId="0">
      <selection activeCell="P29" sqref="P29"/>
    </sheetView>
  </sheetViews>
  <sheetFormatPr defaultRowHeight="12.75" outlineLevelRow="1" x14ac:dyDescent="0.2"/>
  <cols>
    <col min="1" max="1" width="30.42578125" style="4" customWidth="1"/>
    <col min="2" max="2" width="11.140625" style="4" customWidth="1"/>
    <col min="3" max="3" width="8.5703125" style="4" customWidth="1"/>
    <col min="4" max="4" width="8.42578125" style="4" customWidth="1"/>
    <col min="5" max="5" width="9.42578125" style="4" customWidth="1"/>
    <col min="6" max="6" width="10" style="4" customWidth="1"/>
    <col min="7" max="7" width="8.5703125" style="4" customWidth="1"/>
    <col min="8" max="8" width="9.42578125" style="4" customWidth="1"/>
    <col min="9" max="9" width="8.5703125" style="4" customWidth="1"/>
    <col min="10" max="10" width="8.85546875" style="4" customWidth="1"/>
    <col min="11" max="11" width="10.140625" style="4" customWidth="1"/>
    <col min="12" max="12" width="10.7109375" style="4" customWidth="1"/>
    <col min="13" max="13" width="8.28515625" style="4" customWidth="1"/>
    <col min="14" max="14" width="12.42578125" style="4" customWidth="1"/>
    <col min="15" max="15" width="15" style="4" customWidth="1"/>
    <col min="16" max="16" width="10.85546875" style="4" customWidth="1"/>
    <col min="17" max="17" width="11.140625" style="4" customWidth="1"/>
    <col min="18" max="18" width="17" style="4" customWidth="1"/>
    <col min="19" max="19" width="11.140625" style="4" customWidth="1"/>
    <col min="20" max="20" width="9.85546875" style="4" customWidth="1"/>
    <col min="21" max="21" width="8.7109375" style="4" customWidth="1"/>
    <col min="22" max="22" width="9.28515625" style="4" customWidth="1"/>
    <col min="23" max="23" width="8.5703125" style="4" customWidth="1"/>
    <col min="24" max="24" width="7.42578125" style="4" customWidth="1"/>
    <col min="25" max="25" width="9.7109375" style="4" customWidth="1"/>
    <col min="26" max="26" width="8.140625" style="4" customWidth="1"/>
    <col min="27" max="27" width="9.85546875" style="4" customWidth="1"/>
    <col min="28" max="28" width="13" style="4" bestFit="1" customWidth="1"/>
    <col min="29" max="29" width="30.7109375" style="4" customWidth="1"/>
    <col min="30" max="30" width="12.42578125" style="4" customWidth="1"/>
    <col min="31" max="31" width="9.42578125" style="4" bestFit="1" customWidth="1"/>
    <col min="32" max="32" width="9.140625" style="1" customWidth="1"/>
    <col min="33" max="33" width="12.42578125" style="2" bestFit="1" customWidth="1"/>
    <col min="34" max="34" width="10.42578125" style="3" bestFit="1" customWidth="1"/>
    <col min="35" max="16384" width="9.140625" style="4"/>
  </cols>
  <sheetData>
    <row r="1" spans="1:57" ht="17.25" customHeight="1" x14ac:dyDescent="0.2">
      <c r="A1" s="827" t="s">
        <v>11</v>
      </c>
      <c r="B1" s="828"/>
      <c r="C1" s="828"/>
      <c r="D1" s="828"/>
      <c r="E1" s="828"/>
      <c r="F1" s="828"/>
      <c r="G1" s="828"/>
      <c r="H1" s="828"/>
      <c r="I1" s="828"/>
      <c r="J1" s="828"/>
      <c r="K1" s="829"/>
      <c r="L1" s="833" t="s">
        <v>12</v>
      </c>
      <c r="M1" s="857"/>
      <c r="N1" s="858"/>
      <c r="O1" s="862" t="s">
        <v>137</v>
      </c>
      <c r="P1" s="863"/>
      <c r="Q1" s="863"/>
      <c r="R1" s="864"/>
    </row>
    <row r="2" spans="1:57" x14ac:dyDescent="0.2">
      <c r="A2" s="830"/>
      <c r="B2" s="831"/>
      <c r="C2" s="831"/>
      <c r="D2" s="831"/>
      <c r="E2" s="831"/>
      <c r="F2" s="831"/>
      <c r="G2" s="831"/>
      <c r="H2" s="831"/>
      <c r="I2" s="831"/>
      <c r="J2" s="831"/>
      <c r="K2" s="832"/>
      <c r="L2" s="222" t="s">
        <v>13</v>
      </c>
      <c r="M2" s="223"/>
      <c r="N2" s="425">
        <f>N3/12</f>
        <v>18491.666666666668</v>
      </c>
      <c r="O2" s="865"/>
      <c r="P2" s="866"/>
      <c r="Q2" s="866"/>
      <c r="R2" s="867"/>
    </row>
    <row r="3" spans="1:57" ht="15.75" customHeight="1" thickBot="1" x14ac:dyDescent="0.25">
      <c r="A3" s="830"/>
      <c r="B3" s="831"/>
      <c r="C3" s="831"/>
      <c r="D3" s="831"/>
      <c r="E3" s="831"/>
      <c r="F3" s="831"/>
      <c r="G3" s="831"/>
      <c r="H3" s="831"/>
      <c r="I3" s="831"/>
      <c r="J3" s="831"/>
      <c r="K3" s="832"/>
      <c r="L3" s="226" t="s">
        <v>14</v>
      </c>
      <c r="M3" s="227"/>
      <c r="N3" s="415">
        <v>221900</v>
      </c>
      <c r="O3" s="865"/>
      <c r="P3" s="866"/>
      <c r="Q3" s="866"/>
      <c r="R3" s="867"/>
    </row>
    <row r="4" spans="1:57" s="5" customFormat="1" x14ac:dyDescent="0.2">
      <c r="A4" s="230" t="s">
        <v>15</v>
      </c>
      <c r="B4" s="100"/>
      <c r="C4" s="101"/>
      <c r="D4" s="102"/>
      <c r="E4" s="102"/>
      <c r="F4" s="102"/>
      <c r="G4" s="102"/>
      <c r="H4" s="101"/>
      <c r="I4" s="101"/>
      <c r="J4" s="101"/>
      <c r="K4" s="101"/>
      <c r="L4" s="859" t="s">
        <v>168</v>
      </c>
      <c r="M4" s="860"/>
      <c r="N4" s="861"/>
      <c r="O4" s="865"/>
      <c r="P4" s="866"/>
      <c r="Q4" s="866"/>
      <c r="R4" s="867"/>
      <c r="S4" s="4"/>
      <c r="T4" s="4"/>
      <c r="U4" s="4"/>
      <c r="V4" s="4"/>
      <c r="W4" s="4"/>
      <c r="X4" s="4"/>
      <c r="Y4" s="4"/>
      <c r="Z4" s="4"/>
      <c r="AA4" s="4"/>
      <c r="AB4" s="4"/>
      <c r="AC4" s="4"/>
      <c r="AD4" s="60"/>
      <c r="AE4" s="60"/>
      <c r="AF4" s="61"/>
      <c r="AG4" s="1"/>
      <c r="AH4" s="2"/>
      <c r="AI4" s="3"/>
      <c r="AJ4" s="4"/>
      <c r="AK4" s="4"/>
      <c r="AL4" s="4"/>
      <c r="AM4" s="4"/>
      <c r="AN4" s="4"/>
      <c r="AO4" s="4"/>
      <c r="AP4" s="4"/>
      <c r="AQ4" s="4"/>
      <c r="AR4" s="4"/>
      <c r="AS4" s="4"/>
      <c r="AT4" s="4"/>
      <c r="AU4" s="4"/>
      <c r="AV4" s="4"/>
      <c r="AW4" s="4"/>
      <c r="AX4" s="4"/>
      <c r="AY4" s="4"/>
      <c r="AZ4" s="4"/>
      <c r="BA4" s="4"/>
      <c r="BB4" s="4"/>
      <c r="BC4" s="4"/>
      <c r="BD4" s="4"/>
      <c r="BE4" s="4"/>
    </row>
    <row r="5" spans="1:57" s="5" customFormat="1" ht="13.5" thickBot="1" x14ac:dyDescent="0.25">
      <c r="A5" s="230" t="s">
        <v>17</v>
      </c>
      <c r="B5" s="100"/>
      <c r="C5" s="103"/>
      <c r="D5" s="104"/>
      <c r="E5" s="104"/>
      <c r="F5" s="104"/>
      <c r="G5" s="104"/>
      <c r="H5" s="103"/>
      <c r="I5" s="103"/>
      <c r="J5" s="103"/>
      <c r="K5" s="103"/>
      <c r="L5" s="233" t="s">
        <v>18</v>
      </c>
      <c r="M5" s="234"/>
      <c r="N5" s="235">
        <v>0.28599999999999998</v>
      </c>
      <c r="O5" s="868"/>
      <c r="P5" s="869"/>
      <c r="Q5" s="869"/>
      <c r="R5" s="870"/>
      <c r="S5" s="4"/>
      <c r="T5" s="4"/>
      <c r="U5" s="4"/>
      <c r="V5" s="4"/>
      <c r="W5" s="4"/>
      <c r="X5" s="4"/>
      <c r="Y5" s="4"/>
      <c r="Z5" s="4"/>
      <c r="AA5" s="4"/>
      <c r="AB5" s="4"/>
      <c r="AC5" s="4"/>
      <c r="AD5" s="60"/>
      <c r="AE5" s="60"/>
      <c r="AF5" s="61"/>
      <c r="AG5" s="1"/>
      <c r="AH5" s="2"/>
      <c r="AI5" s="3"/>
      <c r="AJ5" s="4"/>
      <c r="AK5" s="4"/>
      <c r="AL5" s="4"/>
      <c r="AM5" s="4"/>
      <c r="AN5" s="4"/>
      <c r="AO5" s="4"/>
      <c r="AP5" s="4"/>
      <c r="AQ5" s="4"/>
      <c r="AR5" s="4"/>
      <c r="AS5" s="4"/>
      <c r="AT5" s="4"/>
      <c r="AU5" s="4"/>
      <c r="AV5" s="4"/>
      <c r="AW5" s="4"/>
      <c r="AX5" s="4"/>
      <c r="AY5" s="4"/>
      <c r="AZ5" s="4"/>
      <c r="BA5" s="4"/>
      <c r="BB5" s="4"/>
      <c r="BC5" s="4"/>
      <c r="BD5" s="4"/>
      <c r="BE5" s="4"/>
    </row>
    <row r="6" spans="1:57" s="5" customFormat="1" x14ac:dyDescent="0.2">
      <c r="A6" s="230" t="s">
        <v>19</v>
      </c>
      <c r="B6" s="100"/>
      <c r="C6" s="103"/>
      <c r="D6" s="104"/>
      <c r="E6" s="104"/>
      <c r="F6" s="104"/>
      <c r="G6" s="104"/>
      <c r="H6" s="103"/>
      <c r="I6" s="103"/>
      <c r="J6" s="103"/>
      <c r="K6" s="103"/>
      <c r="L6" s="233" t="s">
        <v>20</v>
      </c>
      <c r="M6" s="234"/>
      <c r="N6" s="235">
        <v>0.22</v>
      </c>
      <c r="O6" s="426"/>
      <c r="P6" s="224"/>
      <c r="Q6" s="224"/>
      <c r="R6" s="200"/>
      <c r="S6" s="4"/>
      <c r="T6" s="4"/>
      <c r="U6" s="4"/>
      <c r="V6" s="4"/>
      <c r="W6" s="4"/>
      <c r="X6" s="4"/>
      <c r="Y6" s="4"/>
      <c r="Z6" s="4"/>
      <c r="AA6" s="4"/>
      <c r="AB6" s="4"/>
      <c r="AC6" s="4"/>
      <c r="AD6" s="60"/>
      <c r="AE6" s="60"/>
      <c r="AF6" s="61"/>
      <c r="AG6" s="1"/>
      <c r="AH6" s="2"/>
      <c r="AI6" s="3"/>
      <c r="AJ6" s="4"/>
      <c r="AK6" s="4"/>
      <c r="AL6" s="4"/>
      <c r="AM6" s="4"/>
      <c r="AN6" s="4"/>
      <c r="AO6" s="4"/>
      <c r="AP6" s="4"/>
      <c r="AQ6" s="4"/>
      <c r="AR6" s="4"/>
      <c r="AS6" s="4"/>
      <c r="AT6" s="4"/>
      <c r="AU6" s="4"/>
      <c r="AV6" s="4"/>
      <c r="AW6" s="4"/>
      <c r="AX6" s="4"/>
      <c r="AY6" s="4"/>
      <c r="AZ6" s="4"/>
      <c r="BA6" s="4"/>
      <c r="BB6" s="4"/>
      <c r="BC6" s="4"/>
      <c r="BD6" s="4"/>
      <c r="BE6" s="4"/>
    </row>
    <row r="7" spans="1:57" s="5" customFormat="1" ht="12.75" customHeight="1" x14ac:dyDescent="0.2">
      <c r="A7" s="239" t="s">
        <v>21</v>
      </c>
      <c r="B7" s="105"/>
      <c r="C7" s="103"/>
      <c r="D7" s="104"/>
      <c r="E7" s="104"/>
      <c r="F7" s="104"/>
      <c r="G7" s="104"/>
      <c r="H7" s="103"/>
      <c r="I7" s="103"/>
      <c r="J7" s="103"/>
      <c r="K7" s="103"/>
      <c r="L7" s="233" t="s">
        <v>22</v>
      </c>
      <c r="M7" s="234"/>
      <c r="N7" s="235">
        <v>0.05</v>
      </c>
      <c r="O7" s="426"/>
      <c r="P7" s="224"/>
      <c r="Q7" s="224"/>
      <c r="R7" s="200"/>
      <c r="S7" s="4"/>
      <c r="T7" s="4"/>
      <c r="U7" s="4"/>
      <c r="V7" s="4"/>
      <c r="W7" s="4"/>
      <c r="X7" s="4"/>
      <c r="Y7" s="4"/>
      <c r="Z7" s="4"/>
      <c r="AA7" s="4"/>
      <c r="AB7" s="4"/>
      <c r="AC7" s="4"/>
      <c r="AD7" s="60"/>
      <c r="AE7" s="60"/>
      <c r="AF7" s="61"/>
      <c r="AG7" s="1"/>
      <c r="AH7" s="2"/>
      <c r="AI7" s="3"/>
      <c r="AJ7" s="4"/>
      <c r="AK7" s="4"/>
      <c r="AL7" s="4"/>
      <c r="AM7" s="4"/>
      <c r="AN7" s="4"/>
      <c r="AO7" s="4"/>
      <c r="AP7" s="4"/>
      <c r="AQ7" s="4"/>
      <c r="AR7" s="4"/>
      <c r="AS7" s="4"/>
      <c r="AT7" s="4"/>
      <c r="AU7" s="4"/>
      <c r="AV7" s="4"/>
      <c r="AW7" s="4"/>
      <c r="AX7" s="4"/>
      <c r="AY7" s="4"/>
      <c r="AZ7" s="4"/>
      <c r="BA7" s="4"/>
      <c r="BB7" s="4"/>
      <c r="BC7" s="4"/>
      <c r="BD7" s="4"/>
      <c r="BE7" s="4"/>
    </row>
    <row r="8" spans="1:57" s="5" customFormat="1" ht="13.5" customHeight="1" thickBot="1" x14ac:dyDescent="0.25">
      <c r="A8" s="230" t="s">
        <v>23</v>
      </c>
      <c r="B8" s="105"/>
      <c r="C8" s="103"/>
      <c r="D8" s="104"/>
      <c r="E8" s="104"/>
      <c r="F8" s="104"/>
      <c r="G8" s="104"/>
      <c r="H8" s="103"/>
      <c r="I8" s="103"/>
      <c r="J8" s="103"/>
      <c r="K8" s="103"/>
      <c r="L8" s="243" t="s">
        <v>24</v>
      </c>
      <c r="M8" s="244"/>
      <c r="N8" s="245">
        <v>0.11</v>
      </c>
      <c r="O8" s="225"/>
      <c r="P8" s="224"/>
      <c r="Q8" s="224"/>
      <c r="R8" s="200"/>
      <c r="S8" s="4"/>
      <c r="T8" s="4"/>
      <c r="U8" s="4"/>
      <c r="V8" s="4"/>
      <c r="W8" s="4"/>
      <c r="X8" s="4"/>
      <c r="Y8" s="4"/>
      <c r="Z8" s="4"/>
      <c r="AA8" s="4"/>
      <c r="AB8" s="4"/>
      <c r="AC8" s="4"/>
      <c r="AD8" s="60"/>
      <c r="AE8" s="60"/>
      <c r="AF8" s="61"/>
      <c r="AG8" s="1"/>
      <c r="AH8" s="2"/>
      <c r="AI8" s="3"/>
      <c r="AJ8" s="4"/>
      <c r="AK8" s="4"/>
      <c r="AL8" s="4"/>
      <c r="AM8" s="4"/>
      <c r="AN8" s="4"/>
      <c r="AO8" s="4"/>
      <c r="AP8" s="4"/>
      <c r="AQ8" s="4"/>
      <c r="AR8" s="4"/>
      <c r="AS8" s="4"/>
      <c r="AT8" s="4"/>
      <c r="AU8" s="4"/>
      <c r="AV8" s="4"/>
      <c r="AW8" s="4"/>
      <c r="AX8" s="4"/>
      <c r="AY8" s="4"/>
      <c r="AZ8" s="4"/>
      <c r="BA8" s="4"/>
      <c r="BB8" s="4"/>
      <c r="BC8" s="4"/>
      <c r="BD8" s="4"/>
      <c r="BE8" s="4"/>
    </row>
    <row r="9" spans="1:57" s="6" customFormat="1" ht="15" customHeight="1" thickBot="1" x14ac:dyDescent="0.25">
      <c r="A9" s="230" t="s">
        <v>25</v>
      </c>
      <c r="B9" s="106"/>
      <c r="C9" s="103"/>
      <c r="D9" s="103"/>
      <c r="E9" s="103"/>
      <c r="F9" s="104"/>
      <c r="G9" s="104"/>
      <c r="H9" s="103"/>
      <c r="I9" s="103"/>
      <c r="J9" s="103"/>
      <c r="K9" s="103"/>
      <c r="L9" s="246" t="s">
        <v>26</v>
      </c>
      <c r="M9" s="247"/>
      <c r="N9" s="414">
        <v>0.38500000000000001</v>
      </c>
      <c r="O9" s="225"/>
      <c r="P9" s="224"/>
      <c r="Q9" s="224"/>
      <c r="R9" s="200"/>
      <c r="S9" s="4"/>
      <c r="T9" s="4"/>
      <c r="U9" s="4"/>
      <c r="V9" s="4"/>
      <c r="W9" s="4"/>
      <c r="X9" s="4"/>
      <c r="Y9" s="4"/>
      <c r="Z9" s="4"/>
      <c r="AA9" s="4"/>
      <c r="AB9" s="4"/>
      <c r="AC9" s="4"/>
      <c r="AD9" s="7"/>
      <c r="AE9" s="7"/>
      <c r="AF9" s="8"/>
      <c r="AG9" s="9"/>
      <c r="AH9" s="10"/>
      <c r="AI9" s="7"/>
      <c r="AJ9" s="7"/>
      <c r="AK9" s="7"/>
      <c r="AL9" s="7"/>
      <c r="AM9" s="7"/>
      <c r="AN9" s="7"/>
      <c r="AO9" s="7"/>
      <c r="AP9" s="7"/>
      <c r="AQ9" s="7"/>
      <c r="AR9" s="7"/>
      <c r="AS9" s="7"/>
      <c r="AT9" s="7"/>
      <c r="AU9" s="7"/>
      <c r="AV9" s="7"/>
      <c r="AW9" s="7"/>
      <c r="AX9" s="7"/>
      <c r="AY9" s="7"/>
      <c r="AZ9" s="7"/>
      <c r="BA9" s="7"/>
      <c r="BB9" s="7"/>
      <c r="BC9" s="7"/>
      <c r="BD9" s="7"/>
      <c r="BE9" s="7"/>
    </row>
    <row r="10" spans="1:57" ht="13.5" thickBot="1" x14ac:dyDescent="0.25">
      <c r="A10" s="249" t="s">
        <v>27</v>
      </c>
      <c r="B10" s="107"/>
      <c r="C10" s="250"/>
      <c r="D10" s="250"/>
      <c r="E10" s="250"/>
      <c r="F10" s="250"/>
      <c r="G10" s="250"/>
      <c r="H10" s="225"/>
      <c r="I10" s="225"/>
      <c r="J10" s="225"/>
      <c r="K10" s="225"/>
      <c r="L10" s="241" t="s">
        <v>199</v>
      </c>
      <c r="M10" s="241"/>
      <c r="N10" s="241"/>
      <c r="O10" s="241"/>
      <c r="P10" s="224"/>
      <c r="Q10" s="224"/>
      <c r="R10" s="200"/>
    </row>
    <row r="11" spans="1:57" x14ac:dyDescent="0.2">
      <c r="A11" s="251" t="s">
        <v>28</v>
      </c>
      <c r="B11" s="108"/>
      <c r="C11" s="252"/>
      <c r="D11" s="225"/>
      <c r="E11" s="225"/>
      <c r="F11" s="224"/>
      <c r="G11" s="224"/>
      <c r="H11" s="224"/>
      <c r="I11" s="224"/>
      <c r="J11" s="224"/>
      <c r="K11" s="224"/>
      <c r="L11" s="224"/>
      <c r="M11" s="224"/>
      <c r="N11" s="224"/>
      <c r="O11" s="224"/>
      <c r="P11" s="224"/>
      <c r="Q11" s="224"/>
      <c r="R11" s="200"/>
    </row>
    <row r="12" spans="1:57" x14ac:dyDescent="0.2">
      <c r="A12" s="743" t="s">
        <v>29</v>
      </c>
      <c r="B12" s="794"/>
      <c r="C12" s="109"/>
      <c r="D12" s="224"/>
      <c r="E12" s="224"/>
      <c r="F12" s="253" t="s">
        <v>30</v>
      </c>
      <c r="G12" s="109"/>
      <c r="H12" s="224"/>
      <c r="I12" s="224"/>
      <c r="J12" s="224"/>
      <c r="K12" s="224"/>
      <c r="L12" s="224"/>
      <c r="M12" s="224"/>
      <c r="N12" s="224"/>
      <c r="O12" s="224"/>
      <c r="P12" s="224"/>
      <c r="Q12" s="224"/>
      <c r="R12" s="200"/>
    </row>
    <row r="13" spans="1:57" x14ac:dyDescent="0.2">
      <c r="A13" s="254"/>
      <c r="B13" s="255"/>
      <c r="C13" s="255"/>
      <c r="D13" s="255"/>
      <c r="E13" s="255"/>
      <c r="F13" s="255"/>
      <c r="G13" s="256" t="s">
        <v>31</v>
      </c>
      <c r="H13" s="110">
        <v>0</v>
      </c>
      <c r="I13" s="225"/>
      <c r="J13" s="225"/>
      <c r="K13" s="225"/>
      <c r="L13" s="805" t="s">
        <v>32</v>
      </c>
      <c r="M13" s="822"/>
      <c r="N13" s="110">
        <v>0</v>
      </c>
      <c r="O13" s="224"/>
      <c r="P13" s="224"/>
      <c r="Q13" s="224"/>
      <c r="R13" s="200"/>
      <c r="AF13" s="4"/>
      <c r="AG13" s="4"/>
      <c r="AH13" s="4"/>
    </row>
    <row r="14" spans="1:57" ht="13.5" thickBot="1" x14ac:dyDescent="0.25">
      <c r="A14" s="716" t="s">
        <v>36</v>
      </c>
      <c r="B14" s="444"/>
      <c r="C14" s="695" t="s">
        <v>37</v>
      </c>
      <c r="D14" s="695"/>
      <c r="E14" s="695"/>
      <c r="F14" s="695"/>
      <c r="G14" s="695"/>
      <c r="H14" s="695"/>
      <c r="I14" s="695" t="s">
        <v>38</v>
      </c>
      <c r="J14" s="695"/>
      <c r="K14" s="695"/>
      <c r="L14" s="695"/>
      <c r="M14" s="695"/>
      <c r="N14" s="695"/>
      <c r="O14" s="354"/>
      <c r="P14" s="224"/>
      <c r="Q14" s="224"/>
      <c r="R14" s="200"/>
      <c r="AF14" s="4"/>
      <c r="AG14" s="4"/>
      <c r="AH14" s="4"/>
    </row>
    <row r="15" spans="1:57" ht="15.75" customHeight="1" x14ac:dyDescent="0.2">
      <c r="A15" s="716"/>
      <c r="B15" s="717" t="s">
        <v>188</v>
      </c>
      <c r="C15" s="719" t="s">
        <v>42</v>
      </c>
      <c r="D15" s="704" t="s">
        <v>43</v>
      </c>
      <c r="E15" s="813" t="s">
        <v>189</v>
      </c>
      <c r="F15" s="704" t="s">
        <v>44</v>
      </c>
      <c r="G15" s="706" t="s">
        <v>45</v>
      </c>
      <c r="H15" s="702" t="s">
        <v>46</v>
      </c>
      <c r="I15" s="719" t="s">
        <v>42</v>
      </c>
      <c r="J15" s="704" t="s">
        <v>43</v>
      </c>
      <c r="K15" s="813" t="s">
        <v>190</v>
      </c>
      <c r="L15" s="704" t="s">
        <v>44</v>
      </c>
      <c r="M15" s="706" t="s">
        <v>45</v>
      </c>
      <c r="N15" s="702" t="s">
        <v>46</v>
      </c>
      <c r="O15" s="700" t="s">
        <v>47</v>
      </c>
      <c r="P15" s="390"/>
      <c r="Q15" s="224"/>
      <c r="R15" s="200"/>
      <c r="AF15" s="4"/>
      <c r="AG15" s="4"/>
      <c r="AH15" s="4"/>
    </row>
    <row r="16" spans="1:57" s="11" customFormat="1" x14ac:dyDescent="0.2">
      <c r="A16" s="443" t="s">
        <v>48</v>
      </c>
      <c r="B16" s="718"/>
      <c r="C16" s="720"/>
      <c r="D16" s="705"/>
      <c r="E16" s="814"/>
      <c r="F16" s="705"/>
      <c r="G16" s="707"/>
      <c r="H16" s="703"/>
      <c r="I16" s="837"/>
      <c r="J16" s="705"/>
      <c r="K16" s="814"/>
      <c r="L16" s="705"/>
      <c r="M16" s="707"/>
      <c r="N16" s="703"/>
      <c r="O16" s="701"/>
      <c r="P16" s="391"/>
      <c r="Q16" s="427"/>
      <c r="R16" s="392"/>
      <c r="S16" s="4"/>
      <c r="T16" s="4"/>
      <c r="U16" s="4"/>
      <c r="V16" s="4"/>
      <c r="W16" s="4"/>
      <c r="X16" s="4"/>
      <c r="Y16" s="4"/>
      <c r="Z16" s="4"/>
      <c r="AA16" s="4"/>
      <c r="AB16" s="4"/>
      <c r="AC16" s="4"/>
    </row>
    <row r="17" spans="1:34" x14ac:dyDescent="0.2">
      <c r="A17" s="442" t="s">
        <v>49</v>
      </c>
      <c r="B17" s="718"/>
      <c r="C17" s="720"/>
      <c r="D17" s="705"/>
      <c r="E17" s="814"/>
      <c r="F17" s="705"/>
      <c r="G17" s="707"/>
      <c r="H17" s="703"/>
      <c r="I17" s="837"/>
      <c r="J17" s="705"/>
      <c r="K17" s="814"/>
      <c r="L17" s="705"/>
      <c r="M17" s="707"/>
      <c r="N17" s="703"/>
      <c r="O17" s="701"/>
      <c r="P17" s="225" t="s">
        <v>169</v>
      </c>
      <c r="Q17" s="224"/>
      <c r="R17" s="200"/>
      <c r="AF17" s="4"/>
      <c r="AG17" s="4"/>
      <c r="AH17" s="4"/>
    </row>
    <row r="18" spans="1:34" x14ac:dyDescent="0.2">
      <c r="A18" s="111" t="s">
        <v>51</v>
      </c>
      <c r="B18" s="130"/>
      <c r="C18" s="131"/>
      <c r="D18" s="642">
        <f>9*C18</f>
        <v>0</v>
      </c>
      <c r="E18" s="638">
        <f>B18*(1+$H$13)</f>
        <v>0</v>
      </c>
      <c r="F18" s="175">
        <f>IF(($B18*(1+$H$13))&gt;=($N$2*9),ROUND(($N$2*9)*C18,0),ROUND(($C18*$B18*(1+$H$13)),0))</f>
        <v>0</v>
      </c>
      <c r="G18" s="175">
        <f>ROUND(F18*$N$5,0)</f>
        <v>0</v>
      </c>
      <c r="H18" s="176">
        <f t="shared" ref="H18:H28" si="0">ROUND(SUM(F18:G18),0)</f>
        <v>0</v>
      </c>
      <c r="I18" s="131"/>
      <c r="J18" s="642">
        <f>9*I18</f>
        <v>0</v>
      </c>
      <c r="K18" s="638">
        <f>IF($B$10&gt;1,B18*(1+$H$13)*(1+$N$13),0)</f>
        <v>0</v>
      </c>
      <c r="L18" s="175">
        <f>IF(($B18*(1+$H$13)*(1+$N$13))&gt;=($N$2*9),ROUND(($N$2*9)*I18,0),ROUND(($I18*$B18*(1+$H$13)*(1+$N$13)),0))</f>
        <v>0</v>
      </c>
      <c r="M18" s="175">
        <f>ROUND(L18*$N$5,0)</f>
        <v>0</v>
      </c>
      <c r="N18" s="176">
        <f t="shared" ref="N18:N28" si="1">ROUND(SUM(L18:M18),0)</f>
        <v>0</v>
      </c>
      <c r="O18" s="145">
        <f>ROUND(SUM(H18,N18),0)</f>
        <v>0</v>
      </c>
      <c r="P18" s="299" t="s">
        <v>51</v>
      </c>
      <c r="Q18" s="224"/>
      <c r="R18" s="200"/>
      <c r="AF18" s="4"/>
      <c r="AG18" s="4"/>
      <c r="AH18" s="4"/>
    </row>
    <row r="19" spans="1:34" x14ac:dyDescent="0.2">
      <c r="A19" s="113" t="s">
        <v>52</v>
      </c>
      <c r="B19" s="383">
        <f>B18/9*3</f>
        <v>0</v>
      </c>
      <c r="C19" s="132"/>
      <c r="D19" s="642">
        <f>3*C19</f>
        <v>0</v>
      </c>
      <c r="E19" s="638">
        <f>B19*(1+$H$13)</f>
        <v>0</v>
      </c>
      <c r="F19" s="175">
        <f>IF(($B19*(1+$H$13))&gt;=($N$2*3),ROUND(($N$2*3)*C19,0),ROUND(($C19*$B19*(1+$H$13)),0))</f>
        <v>0</v>
      </c>
      <c r="G19" s="175">
        <f>ROUND(F19*$N$8,0)</f>
        <v>0</v>
      </c>
      <c r="H19" s="176">
        <f t="shared" si="0"/>
        <v>0</v>
      </c>
      <c r="I19" s="132"/>
      <c r="J19" s="642">
        <f>3*I19</f>
        <v>0</v>
      </c>
      <c r="K19" s="638">
        <f t="shared" ref="K19:K27" si="2">IF($B$10&gt;1,B19*(1+$H$13)*(1+$N$13),0)</f>
        <v>0</v>
      </c>
      <c r="L19" s="175">
        <f>IF(($B19*(1+$H$13)*(1+$N$13))&gt;=($N$2*3),ROUND(($N$2*3)*I19,0),ROUND(($I19*$B19*(1+$H$13)*(1+$N$13)),0))</f>
        <v>0</v>
      </c>
      <c r="M19" s="175">
        <f>ROUND(L19*$N$8,0)</f>
        <v>0</v>
      </c>
      <c r="N19" s="176">
        <f>ROUND(SUM(L19:M19),0)</f>
        <v>0</v>
      </c>
      <c r="O19" s="145">
        <f t="shared" ref="O19:O54" si="3">ROUND(SUM(H19,N19),0)</f>
        <v>0</v>
      </c>
      <c r="P19" s="299" t="s">
        <v>52</v>
      </c>
      <c r="Q19" s="224"/>
      <c r="R19" s="200"/>
      <c r="AF19" s="4"/>
      <c r="AG19" s="4"/>
      <c r="AH19" s="4"/>
    </row>
    <row r="20" spans="1:34" x14ac:dyDescent="0.2">
      <c r="A20" s="113" t="s">
        <v>53</v>
      </c>
      <c r="B20" s="133"/>
      <c r="C20" s="132"/>
      <c r="D20" s="642">
        <f>10*C20</f>
        <v>0</v>
      </c>
      <c r="E20" s="638">
        <f>B20*(1+$H$13)</f>
        <v>0</v>
      </c>
      <c r="F20" s="175">
        <f>IF(($B20*(1+$H$13))&gt;=($N$2*10),ROUND(($N$2*10)*C20,0),ROUND(($C20*$B20*(1+$H$13)),0))</f>
        <v>0</v>
      </c>
      <c r="G20" s="175">
        <f>ROUND(F20*$N$5,0)</f>
        <v>0</v>
      </c>
      <c r="H20" s="176">
        <f t="shared" si="0"/>
        <v>0</v>
      </c>
      <c r="I20" s="132"/>
      <c r="J20" s="642">
        <f>10*I20</f>
        <v>0</v>
      </c>
      <c r="K20" s="638">
        <f t="shared" si="2"/>
        <v>0</v>
      </c>
      <c r="L20" s="175">
        <f>IF(($B20*(1+$H$13)*(1+$N$13))&gt;=($N$2*10),ROUND(($N$2*10)*I20,0),ROUND(($I20*$B20*(1+$H$13)*(1+$N$13)),0))</f>
        <v>0</v>
      </c>
      <c r="M20" s="175">
        <f>ROUND(L20*$N$5,0)</f>
        <v>0</v>
      </c>
      <c r="N20" s="176">
        <f t="shared" si="1"/>
        <v>0</v>
      </c>
      <c r="O20" s="145">
        <f t="shared" si="3"/>
        <v>0</v>
      </c>
      <c r="P20" s="299" t="s">
        <v>53</v>
      </c>
      <c r="Q20" s="224"/>
      <c r="R20" s="200"/>
      <c r="AF20" s="4"/>
      <c r="AG20" s="4"/>
      <c r="AH20" s="4"/>
    </row>
    <row r="21" spans="1:34" x14ac:dyDescent="0.2">
      <c r="A21" s="113" t="s">
        <v>54</v>
      </c>
      <c r="B21" s="428">
        <f>B20/10*2</f>
        <v>0</v>
      </c>
      <c r="C21" s="132"/>
      <c r="D21" s="642">
        <f>2*C21</f>
        <v>0</v>
      </c>
      <c r="E21" s="638">
        <f t="shared" ref="E21:E28" si="4">B21*(1+$H$13)</f>
        <v>0</v>
      </c>
      <c r="F21" s="175">
        <f>IF(($B21*(1+$H$13))&gt;=($N$2*2),ROUND(($N$2*2)*C21,0),ROUND(($C21*$B21*(1+$H$13)),0))</f>
        <v>0</v>
      </c>
      <c r="G21" s="175">
        <f>ROUND(F21*$N$8,0)</f>
        <v>0</v>
      </c>
      <c r="H21" s="176">
        <f t="shared" si="0"/>
        <v>0</v>
      </c>
      <c r="I21" s="132"/>
      <c r="J21" s="642">
        <f>2*I21</f>
        <v>0</v>
      </c>
      <c r="K21" s="638">
        <f t="shared" si="2"/>
        <v>0</v>
      </c>
      <c r="L21" s="175">
        <f>IF(($B21*(1+$H$13)*(1+$N$13))&gt;=($N$2*2),ROUND(($N$2*2)*I21,0),ROUND(($I21*$B21*(1+$H$13)*(1+$N$13)),0))</f>
        <v>0</v>
      </c>
      <c r="M21" s="175">
        <f>ROUND(L21*$N$8,0)</f>
        <v>0</v>
      </c>
      <c r="N21" s="176">
        <f t="shared" si="1"/>
        <v>0</v>
      </c>
      <c r="O21" s="145">
        <f t="shared" si="3"/>
        <v>0</v>
      </c>
      <c r="P21" s="299" t="s">
        <v>54</v>
      </c>
      <c r="Q21" s="224"/>
      <c r="R21" s="200"/>
      <c r="AF21" s="4"/>
      <c r="AG21" s="4"/>
      <c r="AH21" s="4"/>
    </row>
    <row r="22" spans="1:34" x14ac:dyDescent="0.2">
      <c r="A22" s="113" t="s">
        <v>55</v>
      </c>
      <c r="B22" s="133"/>
      <c r="C22" s="132"/>
      <c r="D22" s="642">
        <f>12*C22</f>
        <v>0</v>
      </c>
      <c r="E22" s="638">
        <f t="shared" si="4"/>
        <v>0</v>
      </c>
      <c r="F22" s="175">
        <f t="shared" ref="F22:F28" si="5">IF(($B22*(1+$H$13))&gt;=$N$3,ROUND($N$3*C22,0),ROUND(($C22*$B22*(1+$H$13)),0))</f>
        <v>0</v>
      </c>
      <c r="G22" s="175">
        <f>ROUND(F22*$N$5,0)</f>
        <v>0</v>
      </c>
      <c r="H22" s="176">
        <f t="shared" si="0"/>
        <v>0</v>
      </c>
      <c r="I22" s="132"/>
      <c r="J22" s="642">
        <f t="shared" ref="J22:J28" si="6">12*I22</f>
        <v>0</v>
      </c>
      <c r="K22" s="638">
        <f t="shared" si="2"/>
        <v>0</v>
      </c>
      <c r="L22" s="175">
        <f t="shared" ref="L22:L28" si="7">IF(($B22*(1+$H$13)*(1+$N$13))&gt;=($N$3),ROUND(($N$3)*I22,0),ROUND(($I22*$B22*(1+$H$13)*(1+$N$13)),0))</f>
        <v>0</v>
      </c>
      <c r="M22" s="175">
        <f>ROUND(L22*$N$5,0)</f>
        <v>0</v>
      </c>
      <c r="N22" s="176">
        <f t="shared" si="1"/>
        <v>0</v>
      </c>
      <c r="O22" s="145">
        <f t="shared" si="3"/>
        <v>0</v>
      </c>
      <c r="P22" s="299" t="s">
        <v>55</v>
      </c>
      <c r="Q22" s="224"/>
      <c r="R22" s="200"/>
      <c r="AF22" s="4"/>
      <c r="AG22" s="4"/>
      <c r="AH22" s="4"/>
    </row>
    <row r="23" spans="1:34" x14ac:dyDescent="0.2">
      <c r="A23" s="258" t="s">
        <v>200</v>
      </c>
      <c r="B23" s="674">
        <v>66560</v>
      </c>
      <c r="C23" s="132"/>
      <c r="D23" s="642">
        <f t="shared" ref="D23:D28" si="8">12*C23</f>
        <v>0</v>
      </c>
      <c r="E23" s="638">
        <f t="shared" si="4"/>
        <v>66560</v>
      </c>
      <c r="F23" s="175">
        <f t="shared" si="5"/>
        <v>0</v>
      </c>
      <c r="G23" s="175">
        <f>ROUND(F23*$N$5,0)</f>
        <v>0</v>
      </c>
      <c r="H23" s="176">
        <f t="shared" si="0"/>
        <v>0</v>
      </c>
      <c r="I23" s="132"/>
      <c r="J23" s="642">
        <f t="shared" si="6"/>
        <v>0</v>
      </c>
      <c r="K23" s="638">
        <f t="shared" si="2"/>
        <v>0</v>
      </c>
      <c r="L23" s="175">
        <f t="shared" si="7"/>
        <v>0</v>
      </c>
      <c r="M23" s="175">
        <f>ROUND(L23*$N$5,0)</f>
        <v>0</v>
      </c>
      <c r="N23" s="176">
        <f t="shared" si="1"/>
        <v>0</v>
      </c>
      <c r="O23" s="145">
        <f t="shared" si="3"/>
        <v>0</v>
      </c>
      <c r="P23" s="299" t="s">
        <v>162</v>
      </c>
      <c r="Q23" s="224"/>
      <c r="R23" s="200"/>
      <c r="AF23" s="4"/>
      <c r="AG23" s="4"/>
      <c r="AH23" s="4"/>
    </row>
    <row r="24" spans="1:34" x14ac:dyDescent="0.2">
      <c r="A24" s="258" t="s">
        <v>201</v>
      </c>
      <c r="B24" s="674"/>
      <c r="C24" s="132"/>
      <c r="D24" s="642">
        <f t="shared" si="8"/>
        <v>0</v>
      </c>
      <c r="E24" s="638">
        <f t="shared" si="4"/>
        <v>0</v>
      </c>
      <c r="F24" s="175">
        <f t="shared" si="5"/>
        <v>0</v>
      </c>
      <c r="G24" s="175">
        <f>ROUND(F24*$N$5,0)</f>
        <v>0</v>
      </c>
      <c r="H24" s="176">
        <f t="shared" si="0"/>
        <v>0</v>
      </c>
      <c r="I24" s="132"/>
      <c r="J24" s="642">
        <f t="shared" si="6"/>
        <v>0</v>
      </c>
      <c r="K24" s="638">
        <f t="shared" si="2"/>
        <v>0</v>
      </c>
      <c r="L24" s="175">
        <f t="shared" si="7"/>
        <v>0</v>
      </c>
      <c r="M24" s="175">
        <f>ROUND(L24*$N$5,0)</f>
        <v>0</v>
      </c>
      <c r="N24" s="176">
        <f t="shared" si="1"/>
        <v>0</v>
      </c>
      <c r="O24" s="145">
        <f t="shared" si="3"/>
        <v>0</v>
      </c>
      <c r="P24" s="299" t="s">
        <v>163</v>
      </c>
      <c r="Q24" s="224"/>
      <c r="R24" s="200"/>
      <c r="AF24" s="4"/>
      <c r="AG24" s="4"/>
      <c r="AH24" s="4"/>
    </row>
    <row r="25" spans="1:34" x14ac:dyDescent="0.2">
      <c r="A25" s="675" t="s">
        <v>57</v>
      </c>
      <c r="B25" s="674"/>
      <c r="C25" s="132"/>
      <c r="D25" s="642">
        <f>12*C25</f>
        <v>0</v>
      </c>
      <c r="E25" s="638">
        <f t="shared" si="4"/>
        <v>0</v>
      </c>
      <c r="F25" s="175">
        <f t="shared" si="5"/>
        <v>0</v>
      </c>
      <c r="G25" s="175">
        <f>IF(C25&gt;50%,ROUND((F25*$N$6),0),ROUND((F25*$N$8),0))</f>
        <v>0</v>
      </c>
      <c r="H25" s="176">
        <f>ROUND(SUM(F25:G25),0)</f>
        <v>0</v>
      </c>
      <c r="I25" s="132"/>
      <c r="J25" s="642">
        <f t="shared" si="6"/>
        <v>0</v>
      </c>
      <c r="K25" s="638">
        <f t="shared" si="2"/>
        <v>0</v>
      </c>
      <c r="L25" s="175">
        <f t="shared" si="7"/>
        <v>0</v>
      </c>
      <c r="M25" s="175">
        <f>IF(I25&gt;50%,ROUND((L25*$N$6),0),ROUND((L25*$N$8),0))</f>
        <v>0</v>
      </c>
      <c r="N25" s="176">
        <f>ROUND(SUM(L25:M25),0)</f>
        <v>0</v>
      </c>
      <c r="O25" s="145">
        <f t="shared" si="3"/>
        <v>0</v>
      </c>
      <c r="P25" s="299" t="s">
        <v>165</v>
      </c>
      <c r="Q25" s="224"/>
      <c r="R25" s="200"/>
      <c r="AF25" s="4"/>
      <c r="AG25" s="4"/>
      <c r="AH25" s="4"/>
    </row>
    <row r="26" spans="1:34" x14ac:dyDescent="0.2">
      <c r="A26" s="258" t="s">
        <v>58</v>
      </c>
      <c r="B26" s="580">
        <f>35.77*2080</f>
        <v>74401.600000000006</v>
      </c>
      <c r="C26" s="132"/>
      <c r="D26" s="642">
        <f t="shared" si="8"/>
        <v>0</v>
      </c>
      <c r="E26" s="638">
        <f t="shared" si="4"/>
        <v>74401.600000000006</v>
      </c>
      <c r="F26" s="175">
        <f t="shared" si="5"/>
        <v>0</v>
      </c>
      <c r="G26" s="175">
        <f>ROUND(F26*$N$7,0)</f>
        <v>0</v>
      </c>
      <c r="H26" s="176">
        <f t="shared" si="0"/>
        <v>0</v>
      </c>
      <c r="I26" s="132"/>
      <c r="J26" s="642">
        <f t="shared" si="6"/>
        <v>0</v>
      </c>
      <c r="K26" s="638">
        <f t="shared" si="2"/>
        <v>0</v>
      </c>
      <c r="L26" s="175">
        <f t="shared" si="7"/>
        <v>0</v>
      </c>
      <c r="M26" s="175">
        <f>ROUND(L26*$N$7,0)</f>
        <v>0</v>
      </c>
      <c r="N26" s="176">
        <f t="shared" si="1"/>
        <v>0</v>
      </c>
      <c r="O26" s="145">
        <f t="shared" si="3"/>
        <v>0</v>
      </c>
      <c r="P26" s="299" t="s">
        <v>59</v>
      </c>
      <c r="Q26" s="224"/>
      <c r="R26" s="200"/>
      <c r="AF26" s="4"/>
      <c r="AG26" s="4"/>
      <c r="AH26" s="4"/>
    </row>
    <row r="27" spans="1:34" x14ac:dyDescent="0.2">
      <c r="A27" s="258" t="s">
        <v>60</v>
      </c>
      <c r="B27" s="580">
        <f>37.82*2080</f>
        <v>78665.600000000006</v>
      </c>
      <c r="C27" s="132"/>
      <c r="D27" s="642">
        <f t="shared" si="8"/>
        <v>0</v>
      </c>
      <c r="E27" s="638">
        <f t="shared" si="4"/>
        <v>78665.600000000006</v>
      </c>
      <c r="F27" s="175">
        <f t="shared" si="5"/>
        <v>0</v>
      </c>
      <c r="G27" s="175">
        <f>ROUND(F27*$N$7,0)</f>
        <v>0</v>
      </c>
      <c r="H27" s="176">
        <f t="shared" si="0"/>
        <v>0</v>
      </c>
      <c r="I27" s="132"/>
      <c r="J27" s="642">
        <f t="shared" si="6"/>
        <v>0</v>
      </c>
      <c r="K27" s="638">
        <f t="shared" si="2"/>
        <v>0</v>
      </c>
      <c r="L27" s="175">
        <f t="shared" si="7"/>
        <v>0</v>
      </c>
      <c r="M27" s="175">
        <f>ROUND(L27*$N$7,0)</f>
        <v>0</v>
      </c>
      <c r="N27" s="176">
        <f t="shared" si="1"/>
        <v>0</v>
      </c>
      <c r="O27" s="145">
        <f t="shared" si="3"/>
        <v>0</v>
      </c>
      <c r="P27" s="299" t="s">
        <v>61</v>
      </c>
      <c r="Q27" s="224"/>
      <c r="R27" s="200"/>
      <c r="AF27" s="4"/>
      <c r="AG27" s="4"/>
      <c r="AH27" s="4"/>
    </row>
    <row r="28" spans="1:34" ht="13.5" thickBot="1" x14ac:dyDescent="0.25">
      <c r="A28" s="259" t="s">
        <v>62</v>
      </c>
      <c r="B28" s="115">
        <f>16*2080</f>
        <v>33280</v>
      </c>
      <c r="C28" s="134"/>
      <c r="D28" s="643">
        <f t="shared" si="8"/>
        <v>0</v>
      </c>
      <c r="E28" s="658">
        <f t="shared" si="4"/>
        <v>33280</v>
      </c>
      <c r="F28" s="177">
        <f t="shared" si="5"/>
        <v>0</v>
      </c>
      <c r="G28" s="177">
        <f>ROUND(F28*$N$7,0)</f>
        <v>0</v>
      </c>
      <c r="H28" s="178">
        <f t="shared" si="0"/>
        <v>0</v>
      </c>
      <c r="I28" s="135"/>
      <c r="J28" s="643">
        <f t="shared" si="6"/>
        <v>0</v>
      </c>
      <c r="K28" s="638">
        <f>IF($B$10&gt;1,B28*(1+$H$13)*(1+$N$13),0)</f>
        <v>0</v>
      </c>
      <c r="L28" s="177">
        <f t="shared" si="7"/>
        <v>0</v>
      </c>
      <c r="M28" s="177">
        <f>ROUND(L28*$N$7,0)</f>
        <v>0</v>
      </c>
      <c r="N28" s="178">
        <f t="shared" si="1"/>
        <v>0</v>
      </c>
      <c r="O28" s="145">
        <f t="shared" si="3"/>
        <v>0</v>
      </c>
      <c r="P28" s="299" t="s">
        <v>164</v>
      </c>
      <c r="Q28" s="224"/>
      <c r="R28" s="200"/>
      <c r="AF28" s="4"/>
      <c r="AG28" s="4"/>
      <c r="AH28" s="4"/>
    </row>
    <row r="29" spans="1:34" ht="13.5" thickBot="1" x14ac:dyDescent="0.25">
      <c r="A29" s="260" t="s">
        <v>64</v>
      </c>
      <c r="B29" s="374"/>
      <c r="C29" s="375"/>
      <c r="D29" s="374"/>
      <c r="E29" s="376"/>
      <c r="F29" s="507">
        <f>SUM(F18:F28)</f>
        <v>0</v>
      </c>
      <c r="G29" s="507">
        <f>SUM(G18:G28)</f>
        <v>0</v>
      </c>
      <c r="H29" s="508">
        <f>SUM(H18:H28)</f>
        <v>0</v>
      </c>
      <c r="I29" s="445"/>
      <c r="J29" s="663"/>
      <c r="K29" s="446"/>
      <c r="L29" s="507">
        <f>SUM(L18:L28)</f>
        <v>0</v>
      </c>
      <c r="M29" s="507">
        <f>SUM(M18:M28)</f>
        <v>0</v>
      </c>
      <c r="N29" s="509">
        <f>SUM(N18:N28)</f>
        <v>0</v>
      </c>
      <c r="O29" s="146">
        <f t="shared" si="3"/>
        <v>0</v>
      </c>
      <c r="P29" s="393" t="s">
        <v>64</v>
      </c>
      <c r="Q29" s="262"/>
      <c r="R29" s="394"/>
      <c r="AF29" s="4"/>
      <c r="AG29" s="4"/>
      <c r="AH29" s="4"/>
    </row>
    <row r="30" spans="1:34" ht="13.5" thickBot="1" x14ac:dyDescent="0.25">
      <c r="B30" s="261"/>
      <c r="C30" s="262"/>
      <c r="D30" s="261"/>
      <c r="E30" s="261"/>
      <c r="F30" s="261"/>
      <c r="G30" s="261"/>
      <c r="H30" s="263"/>
      <c r="I30" s="263"/>
      <c r="J30" s="263"/>
      <c r="K30" s="263"/>
      <c r="L30" s="261"/>
      <c r="M30" s="261"/>
      <c r="N30" s="263"/>
      <c r="O30" s="147">
        <f t="shared" si="3"/>
        <v>0</v>
      </c>
      <c r="P30" s="393" t="s">
        <v>66</v>
      </c>
      <c r="Q30" s="262"/>
      <c r="R30" s="394"/>
      <c r="AF30" s="4"/>
      <c r="AG30" s="4"/>
      <c r="AH30" s="4"/>
    </row>
    <row r="31" spans="1:34" ht="13.5" thickBot="1" x14ac:dyDescent="0.25">
      <c r="A31" s="260"/>
      <c r="B31" s="265"/>
      <c r="C31" s="266"/>
      <c r="D31" s="265"/>
      <c r="E31" s="265"/>
      <c r="F31" s="265"/>
      <c r="G31" s="265"/>
      <c r="H31" s="267" t="s">
        <v>37</v>
      </c>
      <c r="I31" s="267"/>
      <c r="J31" s="267"/>
      <c r="K31" s="267"/>
      <c r="L31" s="268"/>
      <c r="M31" s="268"/>
      <c r="N31" s="267" t="s">
        <v>38</v>
      </c>
      <c r="O31" s="148">
        <f t="shared" si="3"/>
        <v>0</v>
      </c>
      <c r="P31" s="395" t="s">
        <v>67</v>
      </c>
      <c r="Q31" s="262"/>
      <c r="R31" s="394"/>
      <c r="AF31" s="4"/>
      <c r="AG31" s="4"/>
      <c r="AH31" s="4"/>
    </row>
    <row r="32" spans="1:34" ht="13.5" thickBot="1" x14ac:dyDescent="0.25">
      <c r="A32" s="269" t="s">
        <v>68</v>
      </c>
      <c r="B32" s="313"/>
      <c r="C32" s="314"/>
      <c r="D32" s="693"/>
      <c r="E32" s="693"/>
      <c r="F32" s="871"/>
      <c r="G32" s="872"/>
      <c r="H32" s="136">
        <v>0</v>
      </c>
      <c r="I32" s="836"/>
      <c r="J32" s="871"/>
      <c r="K32" s="871"/>
      <c r="L32" s="871"/>
      <c r="M32" s="872"/>
      <c r="N32" s="136">
        <v>0</v>
      </c>
      <c r="O32" s="149">
        <f t="shared" si="3"/>
        <v>0</v>
      </c>
      <c r="P32" s="429" t="s">
        <v>69</v>
      </c>
      <c r="Q32" s="314"/>
      <c r="R32" s="394"/>
      <c r="AF32" s="4"/>
      <c r="AG32" s="4"/>
      <c r="AH32" s="4"/>
    </row>
    <row r="33" spans="1:34" x14ac:dyDescent="0.2">
      <c r="A33" s="275" t="s">
        <v>70</v>
      </c>
      <c r="B33" s="261"/>
      <c r="C33" s="276"/>
      <c r="D33" s="708"/>
      <c r="E33" s="708"/>
      <c r="F33" s="873"/>
      <c r="G33" s="874"/>
      <c r="H33" s="117">
        <v>0</v>
      </c>
      <c r="I33" s="820"/>
      <c r="J33" s="851"/>
      <c r="K33" s="851"/>
      <c r="L33" s="851"/>
      <c r="M33" s="875"/>
      <c r="N33" s="117">
        <v>0</v>
      </c>
      <c r="O33" s="150">
        <f t="shared" si="3"/>
        <v>0</v>
      </c>
      <c r="P33" s="224" t="s">
        <v>71</v>
      </c>
      <c r="Q33" s="262"/>
      <c r="R33" s="394"/>
      <c r="AF33" s="4"/>
      <c r="AG33" s="4"/>
      <c r="AH33" s="4"/>
    </row>
    <row r="34" spans="1:34" ht="13.5" thickBot="1" x14ac:dyDescent="0.25">
      <c r="A34" s="275" t="s">
        <v>72</v>
      </c>
      <c r="B34" s="261"/>
      <c r="C34" s="276"/>
      <c r="D34" s="708"/>
      <c r="E34" s="708"/>
      <c r="F34" s="873"/>
      <c r="G34" s="873"/>
      <c r="H34" s="125">
        <v>0</v>
      </c>
      <c r="I34" s="820"/>
      <c r="J34" s="851"/>
      <c r="K34" s="851"/>
      <c r="L34" s="851"/>
      <c r="M34" s="875"/>
      <c r="N34" s="125">
        <v>0</v>
      </c>
      <c r="O34" s="151">
        <f t="shared" si="3"/>
        <v>0</v>
      </c>
      <c r="P34" s="224" t="s">
        <v>73</v>
      </c>
      <c r="Q34" s="262"/>
      <c r="R34" s="394"/>
      <c r="AF34" s="4"/>
      <c r="AG34" s="4"/>
      <c r="AH34" s="4"/>
    </row>
    <row r="35" spans="1:34" ht="13.5" thickBot="1" x14ac:dyDescent="0.25">
      <c r="A35" s="282" t="s">
        <v>74</v>
      </c>
      <c r="B35" s="265"/>
      <c r="C35" s="283"/>
      <c r="D35" s="265"/>
      <c r="E35" s="265"/>
      <c r="F35" s="265"/>
      <c r="G35" s="265"/>
      <c r="H35" s="510">
        <f>H33+H34</f>
        <v>0</v>
      </c>
      <c r="I35" s="284"/>
      <c r="J35" s="284"/>
      <c r="K35" s="284"/>
      <c r="L35" s="265"/>
      <c r="M35" s="265"/>
      <c r="N35" s="510">
        <f>N33+N34</f>
        <v>0</v>
      </c>
      <c r="O35" s="152">
        <f t="shared" si="3"/>
        <v>0</v>
      </c>
      <c r="P35" s="397" t="s">
        <v>75</v>
      </c>
      <c r="Q35" s="224"/>
      <c r="R35" s="200"/>
      <c r="AF35" s="4"/>
      <c r="AG35" s="4"/>
      <c r="AH35" s="4"/>
    </row>
    <row r="36" spans="1:34" s="465" customFormat="1" outlineLevel="1" x14ac:dyDescent="0.2">
      <c r="A36" s="285" t="s">
        <v>76</v>
      </c>
      <c r="B36" s="456" t="s">
        <v>77</v>
      </c>
      <c r="C36" s="817" t="s">
        <v>78</v>
      </c>
      <c r="D36" s="818"/>
      <c r="E36" s="818"/>
      <c r="F36" s="818"/>
      <c r="G36" s="119"/>
      <c r="H36" s="263"/>
      <c r="I36" s="817" t="s">
        <v>158</v>
      </c>
      <c r="J36" s="818"/>
      <c r="K36" s="818"/>
      <c r="L36" s="818"/>
      <c r="M36" s="119"/>
      <c r="N36" s="263"/>
      <c r="O36" s="286"/>
      <c r="P36" s="248" t="s">
        <v>138</v>
      </c>
      <c r="Q36" s="224"/>
      <c r="R36" s="200"/>
      <c r="S36" s="4"/>
      <c r="T36" s="4"/>
      <c r="U36" s="4"/>
      <c r="V36" s="4"/>
      <c r="W36" s="4"/>
      <c r="X36" s="4"/>
      <c r="Y36" s="4"/>
      <c r="Z36" s="4"/>
      <c r="AA36" s="4"/>
      <c r="AB36" s="4"/>
      <c r="AC36" s="4"/>
    </row>
    <row r="37" spans="1:34" outlineLevel="1" x14ac:dyDescent="0.2">
      <c r="A37" s="258" t="s">
        <v>79</v>
      </c>
      <c r="B37" s="112"/>
      <c r="C37" s="224"/>
      <c r="D37" s="224"/>
      <c r="E37" s="224"/>
      <c r="F37" s="224"/>
      <c r="G37" s="261"/>
      <c r="H37" s="469">
        <f>B37*$G$36*(1+$H$13)</f>
        <v>0</v>
      </c>
      <c r="I37" s="287"/>
      <c r="J37" s="287"/>
      <c r="K37" s="287"/>
      <c r="L37" s="261"/>
      <c r="M37" s="261"/>
      <c r="N37" s="472">
        <f>B37*$M$36*(1+$H$13)*(1+$N$13)</f>
        <v>0</v>
      </c>
      <c r="O37" s="155">
        <f t="shared" si="3"/>
        <v>0</v>
      </c>
      <c r="P37" s="299" t="s">
        <v>80</v>
      </c>
      <c r="Q37" s="224"/>
      <c r="R37" s="200"/>
      <c r="AF37" s="4"/>
      <c r="AG37" s="4"/>
      <c r="AH37" s="4"/>
    </row>
    <row r="38" spans="1:34" outlineLevel="1" x14ac:dyDescent="0.2">
      <c r="A38" s="258" t="s">
        <v>81</v>
      </c>
      <c r="B38" s="114"/>
      <c r="C38" s="224"/>
      <c r="D38" s="261"/>
      <c r="E38" s="261"/>
      <c r="F38" s="261"/>
      <c r="G38" s="261"/>
      <c r="H38" s="469">
        <f>B38*$G$36*(1+$H$13)</f>
        <v>0</v>
      </c>
      <c r="I38" s="287"/>
      <c r="J38" s="287"/>
      <c r="K38" s="287"/>
      <c r="L38" s="261"/>
      <c r="M38" s="261"/>
      <c r="N38" s="472">
        <f>B38*$M$36*(1+$H$13)*(1+$N$13)</f>
        <v>0</v>
      </c>
      <c r="O38" s="155">
        <f t="shared" si="3"/>
        <v>0</v>
      </c>
      <c r="P38" s="299" t="s">
        <v>82</v>
      </c>
      <c r="Q38" s="224"/>
      <c r="R38" s="200"/>
      <c r="AF38" s="4"/>
      <c r="AG38" s="4"/>
      <c r="AH38" s="4"/>
    </row>
    <row r="39" spans="1:34" outlineLevel="1" x14ac:dyDescent="0.2">
      <c r="A39" s="258" t="s">
        <v>83</v>
      </c>
      <c r="B39" s="114"/>
      <c r="C39" s="224"/>
      <c r="D39" s="261"/>
      <c r="E39" s="261"/>
      <c r="F39" s="261"/>
      <c r="G39" s="261"/>
      <c r="H39" s="469">
        <f>B39*$G$36*(1+$H$13)</f>
        <v>0</v>
      </c>
      <c r="I39" s="287"/>
      <c r="J39" s="287"/>
      <c r="K39" s="287"/>
      <c r="L39" s="261"/>
      <c r="M39" s="261"/>
      <c r="N39" s="472">
        <f>B39*$M$36*(1+$H$13)*(1+$N$13)</f>
        <v>0</v>
      </c>
      <c r="O39" s="155">
        <f t="shared" si="3"/>
        <v>0</v>
      </c>
      <c r="P39" s="299" t="s">
        <v>84</v>
      </c>
      <c r="Q39" s="224"/>
      <c r="R39" s="200"/>
      <c r="AF39" s="4"/>
      <c r="AG39" s="4"/>
      <c r="AH39" s="4"/>
    </row>
    <row r="40" spans="1:34" outlineLevel="1" x14ac:dyDescent="0.2">
      <c r="A40" s="258" t="s">
        <v>85</v>
      </c>
      <c r="B40" s="114"/>
      <c r="C40" s="224"/>
      <c r="D40" s="261"/>
      <c r="E40" s="261"/>
      <c r="F40" s="261"/>
      <c r="G40" s="261"/>
      <c r="H40" s="469">
        <f>B40*$G$36*(1+$H$13)</f>
        <v>0</v>
      </c>
      <c r="I40" s="287"/>
      <c r="J40" s="287"/>
      <c r="K40" s="287"/>
      <c r="L40" s="261"/>
      <c r="M40" s="261"/>
      <c r="N40" s="472">
        <f>B40*$M$36*(1+$H$13)*(1+$N$13)</f>
        <v>0</v>
      </c>
      <c r="O40" s="155">
        <f t="shared" si="3"/>
        <v>0</v>
      </c>
      <c r="P40" s="299" t="s">
        <v>86</v>
      </c>
      <c r="Q40" s="224"/>
      <c r="R40" s="200"/>
      <c r="AF40" s="4"/>
      <c r="AG40" s="4"/>
      <c r="AH40" s="4"/>
    </row>
    <row r="41" spans="1:34" ht="13.5" outlineLevel="1" thickBot="1" x14ac:dyDescent="0.25">
      <c r="A41" s="258" t="s">
        <v>87</v>
      </c>
      <c r="B41" s="120"/>
      <c r="C41" s="224"/>
      <c r="D41" s="261"/>
      <c r="E41" s="261"/>
      <c r="F41" s="261"/>
      <c r="G41" s="261"/>
      <c r="H41" s="470">
        <f>B41*$G$36*(1+$H$13)</f>
        <v>0</v>
      </c>
      <c r="I41" s="287"/>
      <c r="J41" s="287"/>
      <c r="K41" s="287"/>
      <c r="L41" s="261"/>
      <c r="M41" s="261"/>
      <c r="N41" s="472">
        <f>B41*$M$36*(1+$H$13)*(1+$N$13)</f>
        <v>0</v>
      </c>
      <c r="O41" s="156">
        <f t="shared" si="3"/>
        <v>0</v>
      </c>
      <c r="P41" s="299" t="s">
        <v>88</v>
      </c>
      <c r="Q41" s="224"/>
      <c r="R41" s="200"/>
      <c r="S41" s="20"/>
      <c r="T41" s="20"/>
      <c r="U41" s="20"/>
      <c r="V41" s="20"/>
      <c r="W41" s="20"/>
      <c r="X41" s="20"/>
      <c r="Y41" s="20"/>
      <c r="Z41" s="20"/>
      <c r="AA41" s="20"/>
      <c r="AB41" s="20"/>
      <c r="AC41" s="20"/>
      <c r="AF41" s="4"/>
      <c r="AG41" s="4"/>
      <c r="AH41" s="4"/>
    </row>
    <row r="42" spans="1:34" ht="13.5" outlineLevel="1" thickBot="1" x14ac:dyDescent="0.25">
      <c r="A42" s="282" t="s">
        <v>89</v>
      </c>
      <c r="B42" s="384"/>
      <c r="C42" s="283"/>
      <c r="D42" s="265"/>
      <c r="E42" s="265"/>
      <c r="F42" s="265"/>
      <c r="G42" s="265"/>
      <c r="H42" s="471">
        <f>SUM(H37:H41)</f>
        <v>0</v>
      </c>
      <c r="I42" s="265"/>
      <c r="J42" s="265"/>
      <c r="K42" s="265"/>
      <c r="L42" s="265"/>
      <c r="M42" s="265"/>
      <c r="N42" s="471">
        <f>SUM(N37:N41)</f>
        <v>0</v>
      </c>
      <c r="O42" s="152">
        <f t="shared" si="3"/>
        <v>0</v>
      </c>
      <c r="P42" s="397" t="s">
        <v>90</v>
      </c>
      <c r="Q42" s="224"/>
      <c r="R42" s="200"/>
      <c r="S42" s="20"/>
      <c r="T42" s="20"/>
      <c r="U42" s="20"/>
      <c r="V42" s="20"/>
      <c r="W42" s="20"/>
      <c r="X42" s="20"/>
      <c r="Y42" s="20"/>
      <c r="Z42" s="20"/>
      <c r="AA42" s="20"/>
      <c r="AB42" s="20"/>
      <c r="AC42" s="20"/>
      <c r="AF42" s="4"/>
      <c r="AG42" s="4"/>
      <c r="AH42" s="4"/>
    </row>
    <row r="43" spans="1:34" x14ac:dyDescent="0.2">
      <c r="A43" s="285" t="s">
        <v>91</v>
      </c>
      <c r="B43" s="819" t="s">
        <v>92</v>
      </c>
      <c r="C43" s="819"/>
      <c r="D43" s="819"/>
      <c r="E43" s="819"/>
      <c r="F43" s="819"/>
      <c r="G43" s="819"/>
      <c r="H43" s="257" t="s">
        <v>37</v>
      </c>
      <c r="I43" s="290"/>
      <c r="J43" s="291"/>
      <c r="K43" s="291"/>
      <c r="L43" s="291"/>
      <c r="M43" s="291"/>
      <c r="N43" s="291" t="s">
        <v>38</v>
      </c>
      <c r="O43" s="286"/>
      <c r="P43" s="248" t="s">
        <v>91</v>
      </c>
      <c r="Q43" s="224"/>
      <c r="R43" s="200"/>
      <c r="S43" s="27"/>
      <c r="T43" s="27"/>
      <c r="U43" s="27"/>
      <c r="V43" s="27"/>
      <c r="W43" s="27"/>
      <c r="X43" s="27"/>
      <c r="Y43" s="27"/>
      <c r="Z43" s="27"/>
      <c r="AA43" s="27"/>
      <c r="AB43" s="27"/>
      <c r="AC43" s="27"/>
      <c r="AF43" s="4"/>
      <c r="AG43" s="4"/>
      <c r="AH43" s="4"/>
    </row>
    <row r="44" spans="1:34" ht="13.5" thickBot="1" x14ac:dyDescent="0.25">
      <c r="A44" s="258" t="s">
        <v>93</v>
      </c>
      <c r="B44" s="114"/>
      <c r="C44" s="224"/>
      <c r="D44" s="261"/>
      <c r="E44" s="261"/>
      <c r="F44" s="261"/>
      <c r="G44" s="261"/>
      <c r="H44" s="121">
        <f>$B44*(1+$H$13)</f>
        <v>0</v>
      </c>
      <c r="I44" s="293"/>
      <c r="J44" s="261"/>
      <c r="K44" s="261"/>
      <c r="L44" s="261"/>
      <c r="M44" s="261"/>
      <c r="N44" s="121">
        <f>$B44*(1+$H$13)*(1+$N$13)</f>
        <v>0</v>
      </c>
      <c r="O44" s="151">
        <f t="shared" si="3"/>
        <v>0</v>
      </c>
      <c r="P44" s="258" t="s">
        <v>93</v>
      </c>
      <c r="Q44" s="224"/>
      <c r="R44" s="200"/>
      <c r="S44" s="27"/>
      <c r="T44" s="27"/>
      <c r="U44" s="27"/>
      <c r="V44" s="27"/>
      <c r="W44" s="27"/>
      <c r="X44" s="27"/>
      <c r="Y44" s="27"/>
      <c r="Z44" s="27"/>
      <c r="AA44" s="27"/>
      <c r="AB44" s="27"/>
      <c r="AC44" s="27"/>
      <c r="AF44" s="4"/>
      <c r="AG44" s="4"/>
      <c r="AH44" s="4"/>
    </row>
    <row r="45" spans="1:34" x14ac:dyDescent="0.2">
      <c r="A45" s="258" t="s">
        <v>94</v>
      </c>
      <c r="B45" s="114"/>
      <c r="C45" s="224"/>
      <c r="D45" s="261"/>
      <c r="E45" s="261"/>
      <c r="F45" s="261"/>
      <c r="G45" s="261"/>
      <c r="H45" s="121">
        <f t="shared" ref="H45:H53" si="9">$B45*(1+$H$13)</f>
        <v>0</v>
      </c>
      <c r="I45" s="293"/>
      <c r="J45" s="261"/>
      <c r="K45" s="261"/>
      <c r="L45" s="261"/>
      <c r="M45" s="261"/>
      <c r="N45" s="121">
        <f t="shared" ref="N45:N53" si="10">$B45*(1+$H$13)*(1+$N$13)</f>
        <v>0</v>
      </c>
      <c r="O45" s="157">
        <f t="shared" si="3"/>
        <v>0</v>
      </c>
      <c r="P45" s="258" t="s">
        <v>94</v>
      </c>
      <c r="Q45" s="224"/>
      <c r="R45" s="200"/>
      <c r="S45" s="33"/>
      <c r="T45" s="582" t="s">
        <v>178</v>
      </c>
      <c r="U45" s="583"/>
      <c r="V45" s="584"/>
      <c r="W45" s="585"/>
      <c r="X45" s="586"/>
      <c r="Y45" s="587"/>
      <c r="Z45" s="33"/>
      <c r="AA45" s="33"/>
      <c r="AB45" s="33"/>
      <c r="AC45" s="33"/>
      <c r="AF45" s="4"/>
      <c r="AG45" s="4"/>
      <c r="AH45" s="4"/>
    </row>
    <row r="46" spans="1:34" x14ac:dyDescent="0.2">
      <c r="A46" s="258" t="s">
        <v>95</v>
      </c>
      <c r="B46" s="114"/>
      <c r="C46" s="224"/>
      <c r="D46" s="261"/>
      <c r="E46" s="261"/>
      <c r="F46" s="261"/>
      <c r="G46" s="261"/>
      <c r="H46" s="121">
        <f t="shared" si="9"/>
        <v>0</v>
      </c>
      <c r="I46" s="293"/>
      <c r="J46" s="261"/>
      <c r="K46" s="261"/>
      <c r="L46" s="261"/>
      <c r="M46" s="261"/>
      <c r="N46" s="121">
        <f t="shared" si="10"/>
        <v>0</v>
      </c>
      <c r="O46" s="157">
        <f t="shared" si="3"/>
        <v>0</v>
      </c>
      <c r="P46" s="258" t="s">
        <v>95</v>
      </c>
      <c r="Q46" s="224"/>
      <c r="R46" s="200"/>
      <c r="S46" s="33"/>
      <c r="T46" s="588">
        <v>0</v>
      </c>
      <c r="U46" s="1" t="s">
        <v>179</v>
      </c>
      <c r="V46" s="2"/>
      <c r="W46" s="3"/>
      <c r="Y46" s="589"/>
      <c r="Z46" s="33"/>
      <c r="AA46" s="33"/>
      <c r="AB46" s="33"/>
      <c r="AC46" s="33"/>
      <c r="AF46" s="4"/>
      <c r="AG46" s="4"/>
      <c r="AH46" s="4"/>
    </row>
    <row r="47" spans="1:34" x14ac:dyDescent="0.2">
      <c r="A47" s="258" t="s">
        <v>171</v>
      </c>
      <c r="B47" s="103"/>
      <c r="C47" s="224"/>
      <c r="D47" s="224"/>
      <c r="E47" s="224"/>
      <c r="F47" s="224"/>
      <c r="G47" s="261"/>
      <c r="H47" s="121">
        <f t="shared" si="9"/>
        <v>0</v>
      </c>
      <c r="I47" s="293"/>
      <c r="J47" s="261"/>
      <c r="K47" s="261"/>
      <c r="L47" s="263"/>
      <c r="M47" s="261"/>
      <c r="N47" s="121">
        <f t="shared" si="10"/>
        <v>0</v>
      </c>
      <c r="O47" s="157">
        <f t="shared" si="3"/>
        <v>0</v>
      </c>
      <c r="P47" s="258" t="s">
        <v>171</v>
      </c>
      <c r="Q47" s="224"/>
      <c r="R47" s="200"/>
      <c r="S47" s="33"/>
      <c r="T47" s="588">
        <v>0</v>
      </c>
      <c r="U47" s="1" t="s">
        <v>180</v>
      </c>
      <c r="V47" s="2"/>
      <c r="W47" s="3"/>
      <c r="Y47" s="589"/>
      <c r="Z47" s="33"/>
      <c r="AA47" s="33"/>
      <c r="AB47" s="33"/>
      <c r="AC47" s="33"/>
      <c r="AF47" s="4"/>
      <c r="AG47" s="4"/>
      <c r="AH47" s="4"/>
    </row>
    <row r="48" spans="1:34" x14ac:dyDescent="0.2">
      <c r="A48" s="258" t="s">
        <v>172</v>
      </c>
      <c r="B48" s="103"/>
      <c r="C48" s="224"/>
      <c r="D48" s="224"/>
      <c r="E48" s="224"/>
      <c r="F48" s="224"/>
      <c r="G48" s="261"/>
      <c r="H48" s="121">
        <f t="shared" si="9"/>
        <v>0</v>
      </c>
      <c r="I48" s="293"/>
      <c r="J48" s="261"/>
      <c r="K48" s="261"/>
      <c r="L48" s="263"/>
      <c r="M48" s="261"/>
      <c r="N48" s="121">
        <f t="shared" si="10"/>
        <v>0</v>
      </c>
      <c r="O48" s="157">
        <f t="shared" ref="O48" si="11">ROUND(SUM(H48,N48),0)</f>
        <v>0</v>
      </c>
      <c r="P48" s="258" t="s">
        <v>172</v>
      </c>
      <c r="Q48" s="224"/>
      <c r="R48" s="200"/>
      <c r="S48" s="33"/>
      <c r="T48" s="588">
        <v>0</v>
      </c>
      <c r="U48" s="1" t="s">
        <v>181</v>
      </c>
      <c r="V48" s="2"/>
      <c r="W48" s="3"/>
      <c r="Y48" s="589"/>
      <c r="Z48" s="33"/>
      <c r="AA48" s="33"/>
      <c r="AB48" s="33"/>
      <c r="AC48" s="33"/>
      <c r="AF48" s="4"/>
      <c r="AG48" s="4"/>
      <c r="AH48" s="4"/>
    </row>
    <row r="49" spans="1:73" x14ac:dyDescent="0.2">
      <c r="A49" s="258" t="s">
        <v>96</v>
      </c>
      <c r="B49" s="103"/>
      <c r="C49" s="224"/>
      <c r="D49" s="224"/>
      <c r="E49" s="224"/>
      <c r="F49" s="224"/>
      <c r="G49" s="261"/>
      <c r="H49" s="121">
        <f t="shared" si="9"/>
        <v>0</v>
      </c>
      <c r="I49" s="293"/>
      <c r="J49" s="261"/>
      <c r="K49" s="261"/>
      <c r="L49" s="263"/>
      <c r="M49" s="261"/>
      <c r="N49" s="121">
        <f t="shared" si="10"/>
        <v>0</v>
      </c>
      <c r="O49" s="157">
        <f t="shared" si="3"/>
        <v>0</v>
      </c>
      <c r="P49" s="258" t="s">
        <v>96</v>
      </c>
      <c r="Q49" s="224"/>
      <c r="R49" s="200"/>
      <c r="S49" s="33"/>
      <c r="T49" s="588">
        <v>0</v>
      </c>
      <c r="U49" s="1" t="s">
        <v>182</v>
      </c>
      <c r="V49" s="2"/>
      <c r="W49" s="3"/>
      <c r="Y49" s="589"/>
      <c r="Z49" s="33"/>
      <c r="AA49" s="33"/>
      <c r="AB49" s="33"/>
      <c r="AC49" s="33"/>
      <c r="AF49" s="4"/>
      <c r="AG49" s="4"/>
      <c r="AH49" s="4"/>
    </row>
    <row r="50" spans="1:73" x14ac:dyDescent="0.2">
      <c r="A50" s="258" t="s">
        <v>173</v>
      </c>
      <c r="B50" s="103"/>
      <c r="C50" s="224"/>
      <c r="D50" s="224"/>
      <c r="E50" s="224"/>
      <c r="F50" s="224"/>
      <c r="G50" s="261"/>
      <c r="H50" s="121">
        <f t="shared" si="9"/>
        <v>0</v>
      </c>
      <c r="I50" s="293"/>
      <c r="J50" s="261"/>
      <c r="K50" s="261"/>
      <c r="L50" s="263"/>
      <c r="M50" s="261"/>
      <c r="N50" s="121">
        <f t="shared" si="10"/>
        <v>0</v>
      </c>
      <c r="O50" s="157">
        <f t="shared" ref="O50" si="12">ROUND(SUM(H50,N50),0)</f>
        <v>0</v>
      </c>
      <c r="P50" s="258" t="s">
        <v>173</v>
      </c>
      <c r="Q50" s="224"/>
      <c r="R50" s="200"/>
      <c r="S50" s="578"/>
      <c r="T50" s="588">
        <v>0</v>
      </c>
      <c r="U50" s="1" t="s">
        <v>187</v>
      </c>
      <c r="V50" s="2"/>
      <c r="W50" s="3"/>
      <c r="Y50" s="589"/>
      <c r="Z50" s="33"/>
      <c r="AA50" s="33"/>
      <c r="AB50" s="33"/>
      <c r="AC50" s="33"/>
      <c r="AF50" s="4"/>
      <c r="AG50" s="4"/>
      <c r="AH50" s="4"/>
    </row>
    <row r="51" spans="1:73" x14ac:dyDescent="0.2">
      <c r="A51" s="258" t="s">
        <v>177</v>
      </c>
      <c r="B51" s="103"/>
      <c r="C51" s="224"/>
      <c r="D51" s="224"/>
      <c r="E51" s="224"/>
      <c r="F51" s="224"/>
      <c r="G51" s="261"/>
      <c r="H51" s="121">
        <f t="shared" si="9"/>
        <v>0</v>
      </c>
      <c r="I51" s="293"/>
      <c r="J51" s="261"/>
      <c r="K51" s="261"/>
      <c r="L51" s="263"/>
      <c r="M51" s="261"/>
      <c r="N51" s="121">
        <f t="shared" si="10"/>
        <v>0</v>
      </c>
      <c r="O51" s="157">
        <f t="shared" si="3"/>
        <v>0</v>
      </c>
      <c r="P51" s="258" t="s">
        <v>177</v>
      </c>
      <c r="Q51" s="224"/>
      <c r="R51" s="200"/>
      <c r="S51" s="33"/>
      <c r="T51" s="590">
        <f>O51</f>
        <v>0</v>
      </c>
      <c r="U51" s="1" t="s">
        <v>183</v>
      </c>
      <c r="V51" s="2"/>
      <c r="W51" s="3"/>
      <c r="Y51" s="589"/>
      <c r="Z51" s="33"/>
      <c r="AA51" s="33"/>
      <c r="AB51" s="33"/>
      <c r="AC51" s="33"/>
      <c r="AF51" s="4"/>
      <c r="AG51" s="4"/>
      <c r="AH51" s="4"/>
    </row>
    <row r="52" spans="1:73" x14ac:dyDescent="0.2">
      <c r="A52" s="258" t="s">
        <v>97</v>
      </c>
      <c r="B52" s="103"/>
      <c r="C52" s="224"/>
      <c r="D52" s="224"/>
      <c r="E52" s="224"/>
      <c r="F52" s="224"/>
      <c r="G52" s="261"/>
      <c r="H52" s="121">
        <f t="shared" si="9"/>
        <v>0</v>
      </c>
      <c r="I52" s="293"/>
      <c r="J52" s="261"/>
      <c r="K52" s="261"/>
      <c r="L52" s="263"/>
      <c r="M52" s="261"/>
      <c r="N52" s="121">
        <f t="shared" si="10"/>
        <v>0</v>
      </c>
      <c r="O52" s="157">
        <f t="shared" ref="O52" si="13">ROUND(SUM(H52,N52),0)</f>
        <v>0</v>
      </c>
      <c r="P52" s="258" t="s">
        <v>97</v>
      </c>
      <c r="Q52" s="224"/>
      <c r="R52" s="200"/>
      <c r="S52" s="33"/>
      <c r="T52" s="590">
        <f>SUM(T46:T51)</f>
        <v>0</v>
      </c>
      <c r="U52" s="1" t="s">
        <v>184</v>
      </c>
      <c r="V52" s="2"/>
      <c r="W52" s="3"/>
      <c r="Y52" s="589"/>
      <c r="Z52" s="33"/>
      <c r="AA52" s="33"/>
      <c r="AB52" s="33"/>
      <c r="AC52" s="33"/>
      <c r="AF52" s="4"/>
      <c r="AG52" s="4"/>
      <c r="AH52" s="4"/>
    </row>
    <row r="53" spans="1:73" ht="13.5" thickBot="1" x14ac:dyDescent="0.25">
      <c r="A53" s="258" t="s">
        <v>97</v>
      </c>
      <c r="B53" s="103"/>
      <c r="C53" s="224"/>
      <c r="D53" s="224"/>
      <c r="E53" s="224"/>
      <c r="F53" s="224"/>
      <c r="G53" s="261"/>
      <c r="H53" s="121">
        <f t="shared" si="9"/>
        <v>0</v>
      </c>
      <c r="I53" s="293"/>
      <c r="J53" s="261"/>
      <c r="K53" s="261"/>
      <c r="L53" s="263"/>
      <c r="M53" s="261"/>
      <c r="N53" s="121">
        <f t="shared" si="10"/>
        <v>0</v>
      </c>
      <c r="O53" s="157">
        <f t="shared" si="3"/>
        <v>0</v>
      </c>
      <c r="P53" s="258" t="s">
        <v>97</v>
      </c>
      <c r="Q53" s="224"/>
      <c r="R53" s="200"/>
      <c r="S53" s="33"/>
      <c r="T53" s="595" t="e">
        <f>T52/O78</f>
        <v>#DIV/0!</v>
      </c>
      <c r="U53" s="591" t="s">
        <v>185</v>
      </c>
      <c r="V53" s="592"/>
      <c r="W53" s="593"/>
      <c r="X53" s="591"/>
      <c r="Y53" s="594"/>
      <c r="Z53" s="33"/>
      <c r="AA53" s="33"/>
      <c r="AB53" s="33"/>
      <c r="AC53" s="33"/>
      <c r="AF53" s="4"/>
      <c r="AG53" s="4"/>
      <c r="AH53" s="4"/>
    </row>
    <row r="54" spans="1:73" ht="13.5" thickBot="1" x14ac:dyDescent="0.25">
      <c r="A54" s="282" t="s">
        <v>98</v>
      </c>
      <c r="B54" s="266"/>
      <c r="C54" s="266"/>
      <c r="D54" s="266"/>
      <c r="E54" s="266"/>
      <c r="F54" s="266"/>
      <c r="G54" s="265"/>
      <c r="H54" s="474">
        <f>SUM(H44:H53)</f>
        <v>0</v>
      </c>
      <c r="I54" s="284"/>
      <c r="J54" s="284"/>
      <c r="K54" s="284"/>
      <c r="L54" s="265"/>
      <c r="M54" s="265"/>
      <c r="N54" s="474">
        <f>SUM(N44:N53)</f>
        <v>0</v>
      </c>
      <c r="O54" s="152">
        <f t="shared" si="3"/>
        <v>0</v>
      </c>
      <c r="P54" s="397" t="s">
        <v>99</v>
      </c>
      <c r="Q54" s="262"/>
      <c r="R54" s="394"/>
      <c r="S54" s="33"/>
      <c r="T54" s="33"/>
      <c r="U54" s="33"/>
      <c r="V54" s="33"/>
      <c r="W54" s="33"/>
      <c r="X54" s="33"/>
      <c r="Y54" s="33"/>
      <c r="Z54" s="33"/>
      <c r="AA54" s="33"/>
      <c r="AB54" s="33"/>
      <c r="AC54" s="33"/>
      <c r="AF54" s="4"/>
      <c r="AG54" s="4"/>
      <c r="AH54" s="4"/>
    </row>
    <row r="55" spans="1:73" ht="17.25" customHeight="1" outlineLevel="1" x14ac:dyDescent="0.35">
      <c r="A55" s="294" t="s">
        <v>100</v>
      </c>
      <c r="B55" s="170" t="s">
        <v>170</v>
      </c>
      <c r="C55" s="170"/>
      <c r="D55" s="170"/>
      <c r="E55" s="170"/>
      <c r="F55" s="170"/>
      <c r="G55" s="174"/>
      <c r="H55" s="318"/>
      <c r="I55" s="318"/>
      <c r="J55" s="318"/>
      <c r="K55" s="318"/>
      <c r="L55" s="380"/>
      <c r="M55" s="319"/>
      <c r="N55" s="319"/>
      <c r="O55" s="286"/>
      <c r="P55" s="263" t="s">
        <v>100</v>
      </c>
      <c r="Q55" s="430"/>
      <c r="R55" s="400"/>
      <c r="S55" s="33"/>
      <c r="T55" s="33"/>
      <c r="U55" s="33"/>
      <c r="V55" s="33"/>
      <c r="W55" s="33"/>
      <c r="X55" s="33"/>
      <c r="Y55" s="33"/>
      <c r="Z55" s="33"/>
      <c r="AA55" s="33"/>
      <c r="AB55" s="33"/>
      <c r="AC55" s="33"/>
      <c r="AF55" s="4"/>
      <c r="AG55" s="4"/>
      <c r="AH55" s="4"/>
    </row>
    <row r="56" spans="1:73" s="20" customFormat="1" outlineLevel="1" x14ac:dyDescent="0.2">
      <c r="A56" s="122" t="s">
        <v>102</v>
      </c>
      <c r="B56" s="296"/>
      <c r="C56" s="739"/>
      <c r="D56" s="854"/>
      <c r="E56" s="854"/>
      <c r="F56" s="854"/>
      <c r="G56" s="854"/>
      <c r="H56" s="291" t="s">
        <v>37</v>
      </c>
      <c r="I56" s="691"/>
      <c r="J56" s="851"/>
      <c r="K56" s="851"/>
      <c r="L56" s="851"/>
      <c r="M56" s="851"/>
      <c r="N56" s="291" t="s">
        <v>38</v>
      </c>
      <c r="O56" s="286"/>
      <c r="P56" s="296"/>
      <c r="Q56" s="431"/>
      <c r="R56" s="401"/>
      <c r="S56" s="39"/>
      <c r="T56" s="39"/>
      <c r="U56" s="39"/>
      <c r="V56" s="39"/>
      <c r="W56" s="39"/>
      <c r="X56" s="39"/>
      <c r="Y56" s="39"/>
      <c r="Z56" s="39"/>
      <c r="AA56" s="39"/>
      <c r="AB56" s="39"/>
      <c r="AC56" s="39"/>
    </row>
    <row r="57" spans="1:73" s="20" customFormat="1" outlineLevel="1" x14ac:dyDescent="0.2">
      <c r="A57" s="295" t="s">
        <v>104</v>
      </c>
      <c r="B57" s="296"/>
      <c r="C57" s="297"/>
      <c r="D57" s="224"/>
      <c r="E57" s="224"/>
      <c r="F57" s="224"/>
      <c r="G57" s="298"/>
      <c r="H57" s="112"/>
      <c r="I57" s="261"/>
      <c r="J57" s="261"/>
      <c r="K57" s="261"/>
      <c r="L57" s="263"/>
      <c r="M57" s="261"/>
      <c r="N57" s="112"/>
      <c r="O57" s="158">
        <f>SUM(N57,H57)</f>
        <v>0</v>
      </c>
      <c r="P57" s="299" t="s">
        <v>104</v>
      </c>
      <c r="Q57" s="431"/>
      <c r="R57" s="401"/>
      <c r="S57" s="42"/>
      <c r="T57" s="42"/>
      <c r="U57" s="42"/>
      <c r="V57" s="42"/>
      <c r="W57" s="42"/>
      <c r="X57" s="42"/>
      <c r="Y57" s="42"/>
      <c r="Z57" s="42"/>
      <c r="AA57" s="42"/>
      <c r="AB57" s="42"/>
      <c r="AC57" s="42"/>
    </row>
    <row r="58" spans="1:73" s="27" customFormat="1" ht="13.5" outlineLevel="1" thickBot="1" x14ac:dyDescent="0.25">
      <c r="A58" s="295" t="s">
        <v>105</v>
      </c>
      <c r="B58" s="296"/>
      <c r="C58" s="299"/>
      <c r="D58" s="225"/>
      <c r="E58" s="225"/>
      <c r="F58" s="224"/>
      <c r="G58" s="298"/>
      <c r="H58" s="114"/>
      <c r="I58" s="261"/>
      <c r="J58" s="261"/>
      <c r="K58" s="261"/>
      <c r="L58" s="263"/>
      <c r="M58" s="261"/>
      <c r="N58" s="114"/>
      <c r="O58" s="158">
        <f t="shared" ref="O58:O75" si="14">SUM(N58,H58)</f>
        <v>0</v>
      </c>
      <c r="P58" s="299" t="s">
        <v>105</v>
      </c>
      <c r="Q58" s="432"/>
      <c r="R58" s="402"/>
      <c r="S58" s="39"/>
      <c r="T58" s="39"/>
      <c r="U58" s="39"/>
      <c r="V58" s="39"/>
      <c r="W58" s="39"/>
      <c r="X58" s="39"/>
      <c r="Y58" s="39"/>
      <c r="Z58" s="39"/>
      <c r="AA58" s="39"/>
      <c r="AB58" s="39"/>
      <c r="AC58" s="39"/>
    </row>
    <row r="59" spans="1:73" s="27" customFormat="1" ht="13.5" outlineLevel="1" thickBot="1" x14ac:dyDescent="0.25">
      <c r="A59" s="300" t="s">
        <v>106</v>
      </c>
      <c r="B59" s="301"/>
      <c r="C59" s="815" t="s">
        <v>107</v>
      </c>
      <c r="D59" s="855"/>
      <c r="E59" s="855"/>
      <c r="F59" s="855"/>
      <c r="G59" s="475">
        <f>IF(H59&gt;=25000,25000,H59)</f>
        <v>0</v>
      </c>
      <c r="H59" s="476">
        <f>ROUND(SUM(H57:H58),0)</f>
        <v>0</v>
      </c>
      <c r="I59" s="811" t="s">
        <v>107</v>
      </c>
      <c r="J59" s="856"/>
      <c r="K59" s="856"/>
      <c r="L59" s="856"/>
      <c r="M59" s="477">
        <f>IF((N59+G59)&gt;=25000,25000-G59,N59)</f>
        <v>0</v>
      </c>
      <c r="N59" s="476">
        <f>ROUND(SUM(N57:N58),0)</f>
        <v>0</v>
      </c>
      <c r="O59" s="159">
        <f t="shared" si="14"/>
        <v>0</v>
      </c>
      <c r="P59" s="225" t="s">
        <v>108</v>
      </c>
      <c r="Q59" s="432"/>
      <c r="R59" s="402"/>
      <c r="S59" s="39"/>
      <c r="T59" s="39"/>
      <c r="U59" s="39"/>
      <c r="V59" s="39"/>
      <c r="W59" s="39"/>
      <c r="X59" s="39"/>
      <c r="Y59" s="39"/>
      <c r="Z59" s="39"/>
      <c r="AA59" s="39"/>
      <c r="AB59" s="39"/>
      <c r="AC59" s="39"/>
    </row>
    <row r="60" spans="1:73" s="34" customFormat="1" outlineLevel="1" x14ac:dyDescent="0.2">
      <c r="A60" s="122" t="s">
        <v>102</v>
      </c>
      <c r="B60" s="303"/>
      <c r="C60" s="739"/>
      <c r="D60" s="854"/>
      <c r="E60" s="854"/>
      <c r="F60" s="854"/>
      <c r="G60" s="854"/>
      <c r="H60" s="291" t="s">
        <v>37</v>
      </c>
      <c r="I60" s="691"/>
      <c r="J60" s="851"/>
      <c r="K60" s="851"/>
      <c r="L60" s="851"/>
      <c r="M60" s="851"/>
      <c r="N60" s="291" t="s">
        <v>38</v>
      </c>
      <c r="O60" s="286"/>
      <c r="P60" s="303"/>
      <c r="Q60" s="433"/>
      <c r="R60" s="403"/>
      <c r="S60" s="39"/>
      <c r="T60" s="39"/>
      <c r="U60" s="39"/>
      <c r="V60" s="39"/>
      <c r="W60" s="39"/>
      <c r="X60" s="39"/>
      <c r="Y60" s="39"/>
      <c r="Z60" s="39"/>
      <c r="AA60" s="39"/>
      <c r="AB60" s="39"/>
      <c r="AC60" s="39"/>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row>
    <row r="61" spans="1:73" s="33" customFormat="1" outlineLevel="1" x14ac:dyDescent="0.2">
      <c r="A61" s="295" t="s">
        <v>104</v>
      </c>
      <c r="B61" s="303"/>
      <c r="C61" s="299"/>
      <c r="D61" s="224"/>
      <c r="E61" s="224"/>
      <c r="F61" s="224"/>
      <c r="G61" s="298"/>
      <c r="H61" s="112"/>
      <c r="I61" s="261"/>
      <c r="J61" s="261"/>
      <c r="K61" s="261"/>
      <c r="L61" s="263"/>
      <c r="M61" s="261"/>
      <c r="N61" s="112"/>
      <c r="O61" s="158">
        <f t="shared" si="14"/>
        <v>0</v>
      </c>
      <c r="P61" s="224" t="s">
        <v>104</v>
      </c>
      <c r="Q61" s="433"/>
      <c r="R61" s="403"/>
      <c r="S61" s="4"/>
      <c r="T61" s="4"/>
      <c r="U61" s="4"/>
      <c r="V61" s="4"/>
      <c r="W61" s="4"/>
      <c r="X61" s="4"/>
      <c r="Y61" s="4"/>
      <c r="Z61" s="4"/>
      <c r="AA61" s="4"/>
      <c r="AB61" s="4"/>
      <c r="AC61" s="4"/>
    </row>
    <row r="62" spans="1:73" s="33" customFormat="1" ht="13.5" outlineLevel="1" thickBot="1" x14ac:dyDescent="0.25">
      <c r="A62" s="295" t="s">
        <v>105</v>
      </c>
      <c r="B62" s="303"/>
      <c r="C62" s="299"/>
      <c r="D62" s="224"/>
      <c r="E62" s="224"/>
      <c r="F62" s="224"/>
      <c r="G62" s="298"/>
      <c r="H62" s="114"/>
      <c r="I62" s="261"/>
      <c r="J62" s="261"/>
      <c r="K62" s="261"/>
      <c r="L62" s="263"/>
      <c r="M62" s="261"/>
      <c r="N62" s="114"/>
      <c r="O62" s="158">
        <f t="shared" si="14"/>
        <v>0</v>
      </c>
      <c r="P62" s="224" t="s">
        <v>105</v>
      </c>
      <c r="Q62" s="434"/>
      <c r="R62" s="404"/>
      <c r="S62" s="4"/>
      <c r="T62" s="4"/>
      <c r="U62" s="4"/>
      <c r="V62" s="4"/>
      <c r="W62" s="4"/>
      <c r="X62" s="4"/>
      <c r="Y62" s="4"/>
      <c r="Z62" s="4"/>
      <c r="AA62" s="4"/>
      <c r="AB62" s="4"/>
      <c r="AC62" s="4"/>
    </row>
    <row r="63" spans="1:73" s="33" customFormat="1" ht="13.5" outlineLevel="1" thickBot="1" x14ac:dyDescent="0.25">
      <c r="A63" s="300" t="s">
        <v>110</v>
      </c>
      <c r="B63" s="304"/>
      <c r="C63" s="815" t="s">
        <v>107</v>
      </c>
      <c r="D63" s="855"/>
      <c r="E63" s="855"/>
      <c r="F63" s="855"/>
      <c r="G63" s="475">
        <f>IF(H63&gt;=25000,25000,H63)</f>
        <v>0</v>
      </c>
      <c r="H63" s="476">
        <f>ROUND(SUM(H61:H62),0)</f>
        <v>0</v>
      </c>
      <c r="I63" s="811" t="s">
        <v>107</v>
      </c>
      <c r="J63" s="856"/>
      <c r="K63" s="856"/>
      <c r="L63" s="856"/>
      <c r="M63" s="477">
        <f>IF((N63+G63)&gt;=25000,25000-G63,N63)</f>
        <v>0</v>
      </c>
      <c r="N63" s="476">
        <f>ROUND(SUM(N61:N62),0)</f>
        <v>0</v>
      </c>
      <c r="O63" s="159">
        <f t="shared" si="14"/>
        <v>0</v>
      </c>
      <c r="P63" s="225" t="s">
        <v>111</v>
      </c>
      <c r="Q63" s="434"/>
      <c r="R63" s="404"/>
      <c r="S63" s="4"/>
      <c r="T63" s="4"/>
      <c r="U63" s="4"/>
      <c r="V63" s="4"/>
      <c r="W63" s="4"/>
      <c r="X63" s="4"/>
      <c r="Y63" s="4"/>
      <c r="Z63" s="4"/>
      <c r="AA63" s="4"/>
      <c r="AB63" s="4"/>
      <c r="AC63" s="4"/>
    </row>
    <row r="64" spans="1:73" s="33" customFormat="1" outlineLevel="1" x14ac:dyDescent="0.2">
      <c r="A64" s="122" t="s">
        <v>102</v>
      </c>
      <c r="B64" s="306"/>
      <c r="C64" s="805"/>
      <c r="D64" s="850"/>
      <c r="E64" s="850"/>
      <c r="F64" s="850"/>
      <c r="G64" s="850"/>
      <c r="H64" s="291" t="s">
        <v>37</v>
      </c>
      <c r="I64" s="691"/>
      <c r="J64" s="851"/>
      <c r="K64" s="851"/>
      <c r="L64" s="851"/>
      <c r="M64" s="851"/>
      <c r="N64" s="291" t="s">
        <v>38</v>
      </c>
      <c r="O64" s="286"/>
      <c r="P64" s="225"/>
      <c r="Q64" s="434"/>
      <c r="R64" s="404"/>
      <c r="S64" s="4"/>
      <c r="T64" s="4"/>
      <c r="U64" s="4"/>
      <c r="V64" s="4"/>
      <c r="W64" s="4"/>
      <c r="X64" s="4"/>
      <c r="Y64" s="4"/>
      <c r="Z64" s="4"/>
      <c r="AA64" s="4"/>
      <c r="AB64" s="4"/>
      <c r="AC64" s="4"/>
    </row>
    <row r="65" spans="1:73" s="33" customFormat="1" outlineLevel="1" x14ac:dyDescent="0.2">
      <c r="A65" s="295" t="s">
        <v>104</v>
      </c>
      <c r="B65" s="306"/>
      <c r="C65" s="299"/>
      <c r="D65" s="224"/>
      <c r="E65" s="224"/>
      <c r="F65" s="224"/>
      <c r="G65" s="298"/>
      <c r="H65" s="112"/>
      <c r="I65" s="261"/>
      <c r="J65" s="261"/>
      <c r="K65" s="261"/>
      <c r="L65" s="263"/>
      <c r="M65" s="261"/>
      <c r="N65" s="112"/>
      <c r="O65" s="158">
        <f t="shared" si="14"/>
        <v>0</v>
      </c>
      <c r="P65" s="405" t="s">
        <v>104</v>
      </c>
      <c r="Q65" s="434"/>
      <c r="R65" s="404"/>
      <c r="S65" s="10"/>
      <c r="T65" s="10"/>
      <c r="U65" s="10"/>
      <c r="V65" s="10"/>
      <c r="W65" s="10"/>
      <c r="X65" s="10"/>
      <c r="Y65" s="10"/>
      <c r="Z65" s="10"/>
      <c r="AA65" s="10"/>
      <c r="AB65" s="10"/>
      <c r="AC65" s="10"/>
    </row>
    <row r="66" spans="1:73" s="33" customFormat="1" ht="13.5" outlineLevel="1" thickBot="1" x14ac:dyDescent="0.25">
      <c r="A66" s="295" t="s">
        <v>105</v>
      </c>
      <c r="B66" s="306"/>
      <c r="C66" s="299"/>
      <c r="D66" s="225"/>
      <c r="E66" s="225"/>
      <c r="F66" s="224"/>
      <c r="G66" s="298"/>
      <c r="H66" s="114"/>
      <c r="I66" s="261"/>
      <c r="J66" s="261"/>
      <c r="K66" s="261"/>
      <c r="L66" s="263"/>
      <c r="M66" s="261"/>
      <c r="N66" s="114"/>
      <c r="O66" s="158">
        <f t="shared" si="14"/>
        <v>0</v>
      </c>
      <c r="P66" s="405" t="s">
        <v>105</v>
      </c>
      <c r="Q66" s="434"/>
      <c r="R66" s="404"/>
      <c r="S66" s="4"/>
      <c r="T66" s="4"/>
      <c r="U66" s="4"/>
      <c r="V66" s="4"/>
      <c r="W66" s="4"/>
      <c r="X66" s="4"/>
      <c r="Y66" s="4"/>
      <c r="Z66" s="4"/>
      <c r="AA66" s="4"/>
      <c r="AB66" s="4"/>
      <c r="AC66" s="4"/>
    </row>
    <row r="67" spans="1:73" s="33" customFormat="1" ht="13.5" outlineLevel="1" thickBot="1" x14ac:dyDescent="0.25">
      <c r="A67" s="300" t="s">
        <v>113</v>
      </c>
      <c r="B67" s="307"/>
      <c r="C67" s="815" t="s">
        <v>107</v>
      </c>
      <c r="D67" s="855"/>
      <c r="E67" s="855"/>
      <c r="F67" s="855"/>
      <c r="G67" s="475">
        <f>IF(H67&gt;=25000,25000,H67)</f>
        <v>0</v>
      </c>
      <c r="H67" s="476">
        <f>ROUND(SUM(H65:H66),0)</f>
        <v>0</v>
      </c>
      <c r="I67" s="811" t="s">
        <v>107</v>
      </c>
      <c r="J67" s="856"/>
      <c r="K67" s="856"/>
      <c r="L67" s="856"/>
      <c r="M67" s="477">
        <f>IF((N67+G67)&gt;=25000,25000-G67,N67)</f>
        <v>0</v>
      </c>
      <c r="N67" s="476">
        <f>ROUND(SUM(N65:N66),0)</f>
        <v>0</v>
      </c>
      <c r="O67" s="159">
        <f t="shared" si="14"/>
        <v>0</v>
      </c>
      <c r="P67" s="225" t="s">
        <v>114</v>
      </c>
      <c r="Q67" s="434"/>
      <c r="R67" s="404"/>
      <c r="S67" s="4"/>
      <c r="T67" s="4"/>
      <c r="U67" s="4"/>
      <c r="V67" s="4"/>
      <c r="W67" s="4"/>
      <c r="X67" s="4"/>
      <c r="Y67" s="4"/>
      <c r="Z67" s="4"/>
      <c r="AA67" s="4"/>
      <c r="AB67" s="4"/>
      <c r="AC67" s="4"/>
    </row>
    <row r="68" spans="1:73" s="33" customFormat="1" outlineLevel="1" x14ac:dyDescent="0.2">
      <c r="A68" s="122" t="s">
        <v>102</v>
      </c>
      <c r="B68" s="306"/>
      <c r="C68" s="805"/>
      <c r="D68" s="850"/>
      <c r="E68" s="850"/>
      <c r="F68" s="850"/>
      <c r="G68" s="850"/>
      <c r="H68" s="291" t="s">
        <v>37</v>
      </c>
      <c r="I68" s="691"/>
      <c r="J68" s="851"/>
      <c r="K68" s="851"/>
      <c r="L68" s="851"/>
      <c r="M68" s="851"/>
      <c r="N68" s="291" t="s">
        <v>38</v>
      </c>
      <c r="O68" s="286"/>
      <c r="P68" s="225"/>
      <c r="Q68" s="434"/>
      <c r="R68" s="404"/>
      <c r="S68" s="4"/>
      <c r="T68" s="4"/>
      <c r="U68" s="4"/>
      <c r="V68" s="4"/>
      <c r="W68" s="4"/>
      <c r="X68" s="4"/>
      <c r="Y68" s="4"/>
      <c r="Z68" s="4"/>
      <c r="AA68" s="4"/>
      <c r="AB68" s="4"/>
      <c r="AC68" s="4"/>
    </row>
    <row r="69" spans="1:73" s="33" customFormat="1" outlineLevel="1" x14ac:dyDescent="0.2">
      <c r="A69" s="295" t="s">
        <v>104</v>
      </c>
      <c r="B69" s="306"/>
      <c r="C69" s="299"/>
      <c r="D69" s="224"/>
      <c r="E69" s="224"/>
      <c r="F69" s="224"/>
      <c r="G69" s="298"/>
      <c r="H69" s="112"/>
      <c r="I69" s="261"/>
      <c r="J69" s="261"/>
      <c r="K69" s="261"/>
      <c r="L69" s="263"/>
      <c r="M69" s="261"/>
      <c r="N69" s="112"/>
      <c r="O69" s="158">
        <f t="shared" ref="O69:O71" si="15">SUM(N69,H69)</f>
        <v>0</v>
      </c>
      <c r="P69" s="405" t="s">
        <v>104</v>
      </c>
      <c r="Q69" s="434"/>
      <c r="R69" s="404"/>
      <c r="S69" s="10"/>
      <c r="T69" s="10"/>
      <c r="U69" s="10"/>
      <c r="V69" s="10"/>
      <c r="W69" s="10"/>
      <c r="X69" s="10"/>
      <c r="Y69" s="10"/>
      <c r="Z69" s="10"/>
      <c r="AA69" s="10"/>
      <c r="AB69" s="10"/>
      <c r="AC69" s="10"/>
    </row>
    <row r="70" spans="1:73" s="33" customFormat="1" ht="13.5" outlineLevel="1" thickBot="1" x14ac:dyDescent="0.25">
      <c r="A70" s="295" t="s">
        <v>105</v>
      </c>
      <c r="B70" s="306"/>
      <c r="C70" s="299"/>
      <c r="D70" s="225"/>
      <c r="E70" s="225"/>
      <c r="F70" s="224"/>
      <c r="G70" s="298"/>
      <c r="H70" s="114"/>
      <c r="I70" s="261"/>
      <c r="J70" s="261"/>
      <c r="K70" s="261"/>
      <c r="L70" s="263"/>
      <c r="M70" s="261"/>
      <c r="N70" s="114"/>
      <c r="O70" s="158">
        <f t="shared" si="15"/>
        <v>0</v>
      </c>
      <c r="P70" s="405" t="s">
        <v>105</v>
      </c>
      <c r="Q70" s="434"/>
      <c r="R70" s="404"/>
      <c r="S70" s="4"/>
      <c r="T70" s="4"/>
      <c r="U70" s="4"/>
      <c r="V70" s="4"/>
      <c r="W70" s="4"/>
      <c r="X70" s="4"/>
      <c r="Y70" s="4"/>
      <c r="Z70" s="4"/>
      <c r="AA70" s="4"/>
      <c r="AB70" s="4"/>
      <c r="AC70" s="4"/>
    </row>
    <row r="71" spans="1:73" s="33" customFormat="1" ht="13.5" outlineLevel="1" thickBot="1" x14ac:dyDescent="0.25">
      <c r="A71" s="300" t="s">
        <v>116</v>
      </c>
      <c r="B71" s="307"/>
      <c r="C71" s="815" t="s">
        <v>107</v>
      </c>
      <c r="D71" s="855"/>
      <c r="E71" s="855"/>
      <c r="F71" s="855"/>
      <c r="G71" s="475">
        <f>IF(H71&gt;=25000,25000,H71)</f>
        <v>0</v>
      </c>
      <c r="H71" s="476">
        <f>ROUND(SUM(H69:H70),0)</f>
        <v>0</v>
      </c>
      <c r="I71" s="811" t="s">
        <v>107</v>
      </c>
      <c r="J71" s="856"/>
      <c r="K71" s="856"/>
      <c r="L71" s="856"/>
      <c r="M71" s="477">
        <f>IF((N71+G71)&gt;=25000,25000-G71,N71)</f>
        <v>0</v>
      </c>
      <c r="N71" s="476">
        <f>ROUND(SUM(N69:N70),0)</f>
        <v>0</v>
      </c>
      <c r="O71" s="159">
        <f t="shared" si="15"/>
        <v>0</v>
      </c>
      <c r="P71" s="225" t="s">
        <v>117</v>
      </c>
      <c r="Q71" s="434"/>
      <c r="R71" s="404"/>
      <c r="S71" s="4"/>
      <c r="T71" s="4"/>
      <c r="U71" s="4"/>
      <c r="V71" s="4"/>
      <c r="W71" s="4"/>
      <c r="X71" s="4"/>
      <c r="Y71" s="4"/>
      <c r="Z71" s="4"/>
      <c r="AA71" s="4"/>
      <c r="AB71" s="4"/>
      <c r="AC71" s="4"/>
    </row>
    <row r="72" spans="1:73" s="40" customFormat="1" outlineLevel="1" x14ac:dyDescent="0.2">
      <c r="A72" s="122" t="s">
        <v>102</v>
      </c>
      <c r="B72" s="406"/>
      <c r="C72" s="805"/>
      <c r="D72" s="850"/>
      <c r="E72" s="850"/>
      <c r="F72" s="850"/>
      <c r="G72" s="850"/>
      <c r="H72" s="291" t="s">
        <v>37</v>
      </c>
      <c r="I72" s="691"/>
      <c r="J72" s="851"/>
      <c r="K72" s="851"/>
      <c r="L72" s="851"/>
      <c r="M72" s="851"/>
      <c r="N72" s="291" t="s">
        <v>38</v>
      </c>
      <c r="O72" s="286"/>
      <c r="P72" s="406"/>
      <c r="Q72" s="435"/>
      <c r="R72" s="436"/>
      <c r="S72" s="4"/>
      <c r="T72" s="4"/>
      <c r="U72" s="4"/>
      <c r="V72" s="4"/>
      <c r="W72" s="4"/>
      <c r="X72" s="4"/>
      <c r="Y72" s="4"/>
      <c r="Z72" s="4"/>
      <c r="AA72" s="4"/>
      <c r="AB72" s="4"/>
      <c r="AC72" s="4"/>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row>
    <row r="73" spans="1:73" s="42" customFormat="1" outlineLevel="1" x14ac:dyDescent="0.2">
      <c r="A73" s="295" t="s">
        <v>104</v>
      </c>
      <c r="B73" s="306"/>
      <c r="C73" s="299"/>
      <c r="D73" s="224"/>
      <c r="E73" s="224"/>
      <c r="F73" s="224"/>
      <c r="G73" s="298"/>
      <c r="H73" s="112"/>
      <c r="I73" s="261"/>
      <c r="J73" s="261"/>
      <c r="K73" s="261"/>
      <c r="L73" s="263"/>
      <c r="M73" s="261"/>
      <c r="N73" s="112"/>
      <c r="O73" s="158">
        <f t="shared" si="14"/>
        <v>0</v>
      </c>
      <c r="P73" s="405" t="s">
        <v>104</v>
      </c>
      <c r="Q73" s="437"/>
      <c r="R73" s="438"/>
      <c r="S73" s="4"/>
      <c r="T73" s="4"/>
      <c r="U73" s="4"/>
      <c r="V73" s="4"/>
      <c r="W73" s="4"/>
      <c r="X73" s="4"/>
      <c r="Y73" s="4"/>
      <c r="Z73" s="4"/>
      <c r="AA73" s="4"/>
      <c r="AB73" s="4"/>
      <c r="AC73" s="4"/>
    </row>
    <row r="74" spans="1:73" s="39" customFormat="1" ht="13.5" outlineLevel="1" thickBot="1" x14ac:dyDescent="0.25">
      <c r="A74" s="295" t="s">
        <v>105</v>
      </c>
      <c r="B74" s="306"/>
      <c r="C74" s="299"/>
      <c r="D74" s="225"/>
      <c r="E74" s="225"/>
      <c r="F74" s="224"/>
      <c r="G74" s="298"/>
      <c r="H74" s="114"/>
      <c r="I74" s="261"/>
      <c r="J74" s="261"/>
      <c r="K74" s="261"/>
      <c r="L74" s="263"/>
      <c r="M74" s="261"/>
      <c r="N74" s="114"/>
      <c r="O74" s="158">
        <f t="shared" si="14"/>
        <v>0</v>
      </c>
      <c r="P74" s="405" t="s">
        <v>105</v>
      </c>
      <c r="Q74" s="439"/>
      <c r="R74" s="409"/>
      <c r="S74" s="4"/>
      <c r="T74" s="4"/>
      <c r="U74" s="4"/>
      <c r="V74" s="4"/>
      <c r="W74" s="4"/>
      <c r="X74" s="4"/>
      <c r="Y74" s="4"/>
      <c r="Z74" s="4"/>
      <c r="AA74" s="4"/>
      <c r="AB74" s="4"/>
      <c r="AC74" s="4"/>
    </row>
    <row r="75" spans="1:73" s="40" customFormat="1" ht="13.5" outlineLevel="1" thickBot="1" x14ac:dyDescent="0.25">
      <c r="A75" s="308" t="s">
        <v>175</v>
      </c>
      <c r="B75" s="309"/>
      <c r="C75" s="807" t="s">
        <v>107</v>
      </c>
      <c r="D75" s="852"/>
      <c r="E75" s="852"/>
      <c r="F75" s="852"/>
      <c r="G75" s="478">
        <f>IF(H75&gt;=25000,25000,H75)</f>
        <v>0</v>
      </c>
      <c r="H75" s="479">
        <f>ROUND(SUM(H73:H74),0)</f>
        <v>0</v>
      </c>
      <c r="I75" s="809" t="s">
        <v>107</v>
      </c>
      <c r="J75" s="853"/>
      <c r="K75" s="853"/>
      <c r="L75" s="853"/>
      <c r="M75" s="480">
        <f>IF((N75+G75)&gt;=25000,25000-G75,N75)</f>
        <v>0</v>
      </c>
      <c r="N75" s="479">
        <f>ROUND(SUM(N73:N74),0)</f>
        <v>0</v>
      </c>
      <c r="O75" s="160">
        <f t="shared" si="14"/>
        <v>0</v>
      </c>
      <c r="P75" s="225" t="s">
        <v>176</v>
      </c>
      <c r="Q75" s="439"/>
      <c r="R75" s="409"/>
      <c r="S75" s="4"/>
      <c r="T75" s="4"/>
      <c r="U75" s="4"/>
      <c r="V75" s="4"/>
      <c r="W75" s="4"/>
      <c r="X75" s="4"/>
      <c r="Y75" s="4"/>
      <c r="Z75" s="4"/>
      <c r="AA75" s="4"/>
      <c r="AB75" s="4"/>
      <c r="AC75" s="4"/>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row>
    <row r="76" spans="1:73" s="39" customFormat="1" ht="13.5" thickTop="1" x14ac:dyDescent="0.2">
      <c r="A76" s="161" t="s">
        <v>47</v>
      </c>
      <c r="B76" s="144"/>
      <c r="C76" s="711"/>
      <c r="D76" s="712"/>
      <c r="E76" s="712"/>
      <c r="F76" s="712"/>
      <c r="G76" s="712"/>
      <c r="H76" s="162" t="s">
        <v>37</v>
      </c>
      <c r="I76" s="754"/>
      <c r="J76" s="755"/>
      <c r="K76" s="755"/>
      <c r="L76" s="755"/>
      <c r="M76" s="755"/>
      <c r="N76" s="162" t="s">
        <v>38</v>
      </c>
      <c r="O76" s="164" t="s">
        <v>118</v>
      </c>
      <c r="P76" s="297"/>
      <c r="Q76" s="439"/>
      <c r="R76" s="409"/>
      <c r="S76" s="4"/>
      <c r="T76" s="4"/>
      <c r="U76" s="4"/>
      <c r="V76" s="4"/>
      <c r="W76" s="4"/>
      <c r="X76" s="4"/>
      <c r="Y76" s="4"/>
      <c r="Z76" s="4"/>
      <c r="AA76" s="4"/>
      <c r="AB76" s="4"/>
      <c r="AC76" s="4"/>
    </row>
    <row r="77" spans="1:73" x14ac:dyDescent="0.2">
      <c r="A77" s="683" t="s">
        <v>121</v>
      </c>
      <c r="B77" s="684"/>
      <c r="C77" s="684"/>
      <c r="D77" s="684"/>
      <c r="E77" s="684"/>
      <c r="F77" s="684"/>
      <c r="G77" s="685"/>
      <c r="H77" s="165">
        <f>SUM(H54,H42,H35,H32,H29,H59,H63,H67,H71,H75)</f>
        <v>0</v>
      </c>
      <c r="I77" s="799" t="s">
        <v>121</v>
      </c>
      <c r="J77" s="800"/>
      <c r="K77" s="800"/>
      <c r="L77" s="800"/>
      <c r="M77" s="679"/>
      <c r="N77" s="165">
        <f>SUM(N54,N42,N35,N32,N29,N59,N63,N67,N71,N75)</f>
        <v>0</v>
      </c>
      <c r="O77" s="166">
        <f>H77+N77</f>
        <v>0</v>
      </c>
      <c r="P77" s="279" t="s">
        <v>121</v>
      </c>
      <c r="Q77" s="262"/>
      <c r="R77" s="394"/>
      <c r="AF77" s="4"/>
      <c r="AG77" s="4"/>
      <c r="AH77" s="4"/>
    </row>
    <row r="78" spans="1:73" x14ac:dyDescent="0.2">
      <c r="A78" s="683" t="s">
        <v>122</v>
      </c>
      <c r="B78" s="684"/>
      <c r="C78" s="684"/>
      <c r="D78" s="684"/>
      <c r="E78" s="684"/>
      <c r="F78" s="684"/>
      <c r="G78" s="685"/>
      <c r="H78" s="167">
        <f>H77-H58-H62-H66-H71-H74</f>
        <v>0</v>
      </c>
      <c r="I78" s="799" t="s">
        <v>124</v>
      </c>
      <c r="J78" s="800"/>
      <c r="K78" s="800"/>
      <c r="L78" s="800"/>
      <c r="M78" s="679"/>
      <c r="N78" s="167">
        <f>N77-N58-N62-N66-N71-N74</f>
        <v>0</v>
      </c>
      <c r="O78" s="166">
        <f>H78+N78</f>
        <v>0</v>
      </c>
      <c r="P78" s="279" t="s">
        <v>124</v>
      </c>
      <c r="Q78" s="262"/>
      <c r="R78" s="394"/>
      <c r="AF78" s="4"/>
      <c r="AG78" s="4"/>
      <c r="AH78" s="4"/>
    </row>
    <row r="79" spans="1:73" x14ac:dyDescent="0.2">
      <c r="A79" s="683" t="s">
        <v>125</v>
      </c>
      <c r="B79" s="684"/>
      <c r="C79" s="684"/>
      <c r="D79" s="684"/>
      <c r="E79" s="684"/>
      <c r="F79" s="684"/>
      <c r="G79" s="685"/>
      <c r="H79" s="167">
        <f>SUM(G75,G67,G63,G59,G71,H54,H35,H29)-SUM(H47:H48)</f>
        <v>0</v>
      </c>
      <c r="I79" s="799" t="s">
        <v>126</v>
      </c>
      <c r="J79" s="800"/>
      <c r="K79" s="800"/>
      <c r="L79" s="800"/>
      <c r="M79" s="679"/>
      <c r="N79" s="167">
        <f>SUM(M75,M67,M63,M59,M71,N54,N35,N29)-SUM(N47:N48)</f>
        <v>0</v>
      </c>
      <c r="O79" s="166">
        <f>H79+N79</f>
        <v>0</v>
      </c>
      <c r="P79" s="279" t="s">
        <v>125</v>
      </c>
      <c r="Q79" s="262"/>
      <c r="R79" s="394"/>
      <c r="AF79" s="4"/>
      <c r="AG79" s="4"/>
      <c r="AH79" s="4"/>
    </row>
    <row r="80" spans="1:73" ht="13.5" thickBot="1" x14ac:dyDescent="0.25">
      <c r="A80" s="686" t="s">
        <v>129</v>
      </c>
      <c r="B80" s="687"/>
      <c r="C80" s="687"/>
      <c r="D80" s="687"/>
      <c r="E80" s="687"/>
      <c r="F80" s="687"/>
      <c r="G80" s="688"/>
      <c r="H80" s="168">
        <f>ROUND(H79*$N$9,0)</f>
        <v>0</v>
      </c>
      <c r="I80" s="799" t="s">
        <v>129</v>
      </c>
      <c r="J80" s="800"/>
      <c r="K80" s="800"/>
      <c r="L80" s="800"/>
      <c r="M80" s="679"/>
      <c r="N80" s="168">
        <f>ROUND(N79*$N$9,0)</f>
        <v>0</v>
      </c>
      <c r="O80" s="166">
        <f>H80+N80</f>
        <v>0</v>
      </c>
      <c r="P80" s="279" t="s">
        <v>129</v>
      </c>
      <c r="Q80" s="262"/>
      <c r="R80" s="394"/>
      <c r="AF80" s="4"/>
      <c r="AG80" s="4"/>
      <c r="AH80" s="4"/>
    </row>
    <row r="81" spans="1:34" s="10" customFormat="1" ht="13.5" thickBot="1" x14ac:dyDescent="0.25">
      <c r="A81" s="680" t="s">
        <v>130</v>
      </c>
      <c r="B81" s="681"/>
      <c r="C81" s="681"/>
      <c r="D81" s="681"/>
      <c r="E81" s="681"/>
      <c r="F81" s="681"/>
      <c r="G81" s="682"/>
      <c r="H81" s="159">
        <f>H77+H80</f>
        <v>0</v>
      </c>
      <c r="I81" s="802" t="s">
        <v>130</v>
      </c>
      <c r="J81" s="804"/>
      <c r="K81" s="804"/>
      <c r="L81" s="804"/>
      <c r="M81" s="677"/>
      <c r="N81" s="159">
        <f>N77+N80</f>
        <v>0</v>
      </c>
      <c r="O81" s="169">
        <f>H81+N81</f>
        <v>0</v>
      </c>
      <c r="P81" s="410" t="s">
        <v>130</v>
      </c>
      <c r="Q81" s="440"/>
      <c r="R81" s="411"/>
      <c r="S81" s="4"/>
      <c r="T81" s="4"/>
      <c r="U81" s="4"/>
      <c r="V81" s="4"/>
      <c r="W81" s="4"/>
      <c r="X81" s="4"/>
      <c r="Y81" s="4"/>
      <c r="Z81" s="4"/>
      <c r="AA81" s="4"/>
      <c r="AB81" s="4"/>
      <c r="AC81" s="4"/>
    </row>
    <row r="82" spans="1:34" s="10" customFormat="1" ht="13.5" thickBot="1" x14ac:dyDescent="0.25">
      <c r="A82" s="4"/>
      <c r="B82" s="334"/>
      <c r="C82" s="334"/>
      <c r="D82" s="334"/>
      <c r="E82" s="334"/>
      <c r="F82" s="334"/>
      <c r="G82" s="334"/>
      <c r="H82" s="335"/>
      <c r="I82" s="370"/>
      <c r="J82" s="370"/>
      <c r="K82" s="370"/>
      <c r="L82" s="370"/>
      <c r="M82" s="370"/>
      <c r="N82" s="335"/>
      <c r="O82" s="65"/>
      <c r="P82" s="65"/>
      <c r="U82" s="4"/>
      <c r="V82" s="4"/>
      <c r="W82" s="4"/>
      <c r="X82" s="4"/>
      <c r="Y82" s="4"/>
      <c r="Z82" s="4"/>
      <c r="AA82" s="4"/>
      <c r="AB82" s="4"/>
      <c r="AC82" s="4"/>
    </row>
    <row r="83" spans="1:34" x14ac:dyDescent="0.2">
      <c r="A83" s="573" t="s">
        <v>140</v>
      </c>
      <c r="B83" s="564"/>
      <c r="C83" s="564"/>
      <c r="D83" s="564"/>
      <c r="E83" s="564"/>
      <c r="F83" s="564"/>
      <c r="G83" s="564"/>
      <c r="H83" s="525" t="s">
        <v>37</v>
      </c>
      <c r="I83" s="540"/>
      <c r="J83" s="540"/>
      <c r="K83" s="540"/>
      <c r="L83" s="540"/>
      <c r="M83" s="564"/>
      <c r="N83" s="525" t="s">
        <v>38</v>
      </c>
      <c r="O83" s="525" t="s">
        <v>141</v>
      </c>
      <c r="P83" s="540"/>
      <c r="Q83" s="564"/>
      <c r="R83" s="565"/>
      <c r="S83" s="3"/>
      <c r="U83" s="97"/>
      <c r="AF83" s="4"/>
      <c r="AG83" s="4"/>
      <c r="AH83" s="4"/>
    </row>
    <row r="84" spans="1:34" x14ac:dyDescent="0.2">
      <c r="A84" s="532"/>
      <c r="B84" s="485"/>
      <c r="C84" s="485"/>
      <c r="D84" s="485"/>
      <c r="E84" s="485"/>
      <c r="F84" s="485"/>
      <c r="G84" s="486" t="s">
        <v>142</v>
      </c>
      <c r="H84" s="511">
        <f>H90*25000</f>
        <v>0</v>
      </c>
      <c r="I84" s="487"/>
      <c r="J84" s="485"/>
      <c r="K84" s="485"/>
      <c r="L84" s="485"/>
      <c r="M84" s="488" t="s">
        <v>143</v>
      </c>
      <c r="N84" s="511">
        <f>N90*25000</f>
        <v>0</v>
      </c>
      <c r="O84" s="487">
        <f t="shared" ref="O84:O89" si="16">SUM(H84,N84)</f>
        <v>0</v>
      </c>
      <c r="P84" s="544" t="s">
        <v>142</v>
      </c>
      <c r="Q84" s="465"/>
      <c r="R84" s="545"/>
      <c r="S84" s="7"/>
      <c r="T84" s="7"/>
      <c r="U84" s="98"/>
      <c r="AF84" s="4"/>
      <c r="AG84" s="4"/>
      <c r="AH84" s="4"/>
    </row>
    <row r="85" spans="1:34" s="7" customFormat="1" x14ac:dyDescent="0.2">
      <c r="A85" s="547"/>
      <c r="B85" s="485"/>
      <c r="C85" s="485"/>
      <c r="D85" s="485"/>
      <c r="E85" s="485"/>
      <c r="F85" s="485"/>
      <c r="G85" s="486" t="s">
        <v>144</v>
      </c>
      <c r="H85" s="512">
        <f>SUM(H58,H62,H66,H74)</f>
        <v>0</v>
      </c>
      <c r="I85" s="487"/>
      <c r="J85" s="485"/>
      <c r="K85" s="485"/>
      <c r="L85" s="485"/>
      <c r="M85" s="488" t="s">
        <v>145</v>
      </c>
      <c r="N85" s="512">
        <f>SUM(N58,N62,N66,N74)</f>
        <v>0</v>
      </c>
      <c r="O85" s="487">
        <f t="shared" si="16"/>
        <v>0</v>
      </c>
      <c r="P85" s="544" t="s">
        <v>144</v>
      </c>
      <c r="Q85" s="485"/>
      <c r="R85" s="549"/>
      <c r="U85" s="98"/>
      <c r="V85" s="4"/>
      <c r="W85" s="4"/>
      <c r="X85" s="4"/>
      <c r="Y85" s="4"/>
      <c r="Z85" s="4"/>
      <c r="AA85" s="4"/>
      <c r="AB85" s="4"/>
      <c r="AC85" s="4"/>
    </row>
    <row r="86" spans="1:34" x14ac:dyDescent="0.2">
      <c r="A86" s="532"/>
      <c r="B86" s="485"/>
      <c r="C86" s="485"/>
      <c r="D86" s="485"/>
      <c r="E86" s="485"/>
      <c r="F86" s="485"/>
      <c r="G86" s="486" t="s">
        <v>121</v>
      </c>
      <c r="H86" s="512">
        <f>(H90*25000)+H85</f>
        <v>0</v>
      </c>
      <c r="I86" s="487"/>
      <c r="J86" s="485"/>
      <c r="K86" s="485"/>
      <c r="L86" s="485"/>
      <c r="M86" s="488" t="s">
        <v>146</v>
      </c>
      <c r="N86" s="512">
        <f>(N90*25000)+N85</f>
        <v>0</v>
      </c>
      <c r="O86" s="487">
        <f t="shared" si="16"/>
        <v>0</v>
      </c>
      <c r="P86" s="544" t="s">
        <v>121</v>
      </c>
      <c r="Q86" s="465"/>
      <c r="R86" s="545"/>
      <c r="S86" s="7"/>
      <c r="T86" s="7"/>
      <c r="U86" s="98"/>
      <c r="AF86" s="4"/>
      <c r="AG86" s="4"/>
      <c r="AH86" s="4"/>
    </row>
    <row r="87" spans="1:34" x14ac:dyDescent="0.2">
      <c r="A87" s="532"/>
      <c r="B87" s="485"/>
      <c r="C87" s="485"/>
      <c r="D87" s="485"/>
      <c r="E87" s="485"/>
      <c r="F87" s="485"/>
      <c r="G87" s="486" t="s">
        <v>147</v>
      </c>
      <c r="H87" s="512">
        <f>H86-H91</f>
        <v>0</v>
      </c>
      <c r="I87" s="487"/>
      <c r="J87" s="485"/>
      <c r="K87" s="485"/>
      <c r="L87" s="485"/>
      <c r="M87" s="488" t="s">
        <v>148</v>
      </c>
      <c r="N87" s="512">
        <f>N86-N91</f>
        <v>0</v>
      </c>
      <c r="O87" s="487">
        <f t="shared" si="16"/>
        <v>0</v>
      </c>
      <c r="P87" s="544" t="s">
        <v>147</v>
      </c>
      <c r="Q87" s="465"/>
      <c r="R87" s="545"/>
      <c r="S87" s="7"/>
      <c r="T87" s="7"/>
      <c r="U87" s="98"/>
      <c r="AF87" s="4"/>
      <c r="AG87" s="4"/>
      <c r="AH87" s="4"/>
    </row>
    <row r="88" spans="1:34" s="50" customFormat="1" x14ac:dyDescent="0.2">
      <c r="A88" s="532"/>
      <c r="B88" s="485"/>
      <c r="C88" s="485"/>
      <c r="D88" s="485"/>
      <c r="E88" s="485"/>
      <c r="F88" s="485"/>
      <c r="G88" s="486" t="s">
        <v>149</v>
      </c>
      <c r="H88" s="512">
        <f>ROUND(H87*$N$9,0)</f>
        <v>0</v>
      </c>
      <c r="I88" s="487"/>
      <c r="J88" s="485"/>
      <c r="K88" s="485"/>
      <c r="L88" s="485"/>
      <c r="M88" s="488" t="s">
        <v>150</v>
      </c>
      <c r="N88" s="512">
        <f>ROUND(N87*$N$9,0)</f>
        <v>0</v>
      </c>
      <c r="O88" s="487">
        <f t="shared" si="16"/>
        <v>0</v>
      </c>
      <c r="P88" s="544" t="s">
        <v>149</v>
      </c>
      <c r="Q88" s="465"/>
      <c r="R88" s="545"/>
      <c r="S88" s="7"/>
      <c r="T88" s="7"/>
      <c r="U88" s="98"/>
      <c r="V88" s="4"/>
      <c r="W88" s="4"/>
      <c r="X88" s="4"/>
      <c r="Y88" s="4"/>
      <c r="Z88" s="4"/>
      <c r="AA88" s="4"/>
      <c r="AB88" s="4"/>
      <c r="AC88" s="4"/>
    </row>
    <row r="89" spans="1:34" s="55" customFormat="1" x14ac:dyDescent="0.2">
      <c r="A89" s="547"/>
      <c r="B89" s="485"/>
      <c r="C89" s="485"/>
      <c r="D89" s="485"/>
      <c r="E89" s="485"/>
      <c r="F89" s="485"/>
      <c r="G89" s="486" t="s">
        <v>151</v>
      </c>
      <c r="H89" s="513">
        <f>SUM(H86,H88)</f>
        <v>0</v>
      </c>
      <c r="I89" s="487"/>
      <c r="J89" s="485"/>
      <c r="K89" s="485"/>
      <c r="L89" s="485"/>
      <c r="M89" s="492" t="s">
        <v>152</v>
      </c>
      <c r="N89" s="513">
        <f>SUM(N86,N88)</f>
        <v>0</v>
      </c>
      <c r="O89" s="487">
        <f t="shared" si="16"/>
        <v>0</v>
      </c>
      <c r="P89" s="544" t="s">
        <v>151</v>
      </c>
      <c r="Q89" s="485"/>
      <c r="R89" s="549"/>
      <c r="S89" s="7"/>
      <c r="T89" s="7"/>
      <c r="U89" s="98"/>
      <c r="V89" s="4"/>
      <c r="W89" s="4"/>
      <c r="X89" s="4"/>
      <c r="Y89" s="4"/>
      <c r="Z89" s="4"/>
      <c r="AA89" s="4"/>
      <c r="AB89" s="4"/>
      <c r="AC89" s="4"/>
    </row>
    <row r="90" spans="1:34" x14ac:dyDescent="0.2">
      <c r="A90" s="550"/>
      <c r="B90" s="551"/>
      <c r="C90" s="551"/>
      <c r="D90" s="562" t="s">
        <v>153</v>
      </c>
      <c r="E90" s="563"/>
      <c r="F90" s="563"/>
      <c r="G90" s="563"/>
      <c r="H90" s="494">
        <f>ROUNDUP((H78/25000),0)</f>
        <v>0</v>
      </c>
      <c r="I90" s="494"/>
      <c r="J90" s="494"/>
      <c r="K90" s="494"/>
      <c r="L90" s="494"/>
      <c r="M90" s="494"/>
      <c r="N90" s="497">
        <f>ROUNDUP((N78/25000),0)</f>
        <v>0</v>
      </c>
      <c r="O90" s="566"/>
      <c r="P90" s="567"/>
      <c r="Q90" s="568"/>
      <c r="R90" s="554"/>
      <c r="S90" s="97"/>
      <c r="T90" s="97"/>
      <c r="U90" s="97"/>
      <c r="AF90" s="4"/>
      <c r="AG90" s="4"/>
      <c r="AH90" s="4"/>
    </row>
    <row r="91" spans="1:34" ht="13.5" thickBot="1" x14ac:dyDescent="0.25">
      <c r="A91" s="555"/>
      <c r="B91" s="569"/>
      <c r="C91" s="569"/>
      <c r="D91" s="570" t="s">
        <v>154</v>
      </c>
      <c r="E91" s="557"/>
      <c r="F91" s="557"/>
      <c r="G91" s="557"/>
      <c r="H91" s="558">
        <f>H77-H79</f>
        <v>0</v>
      </c>
      <c r="I91" s="558"/>
      <c r="J91" s="558"/>
      <c r="K91" s="558"/>
      <c r="L91" s="558"/>
      <c r="M91" s="558"/>
      <c r="N91" s="559">
        <f>N77-N79</f>
        <v>0</v>
      </c>
      <c r="O91" s="569"/>
      <c r="P91" s="560"/>
      <c r="Q91" s="571"/>
      <c r="R91" s="572"/>
      <c r="S91" s="97"/>
      <c r="T91" s="97"/>
      <c r="U91" s="97"/>
      <c r="AF91" s="4"/>
      <c r="AG91" s="4"/>
      <c r="AH91" s="4"/>
    </row>
    <row r="93" spans="1:34" ht="13.5" thickBot="1" x14ac:dyDescent="0.25">
      <c r="L93" s="79"/>
    </row>
    <row r="94" spans="1:34" outlineLevel="1" x14ac:dyDescent="0.2">
      <c r="A94" s="67" t="s">
        <v>131</v>
      </c>
      <c r="B94" s="68"/>
      <c r="C94" s="68"/>
      <c r="D94" s="68"/>
      <c r="E94" s="68"/>
      <c r="F94" s="68"/>
      <c r="G94" s="68"/>
      <c r="H94" s="69" t="s">
        <v>37</v>
      </c>
      <c r="I94" s="69"/>
      <c r="J94" s="69"/>
      <c r="K94" s="69"/>
      <c r="L94" s="69"/>
      <c r="M94" s="69"/>
      <c r="N94" s="87" t="s">
        <v>38</v>
      </c>
    </row>
    <row r="95" spans="1:34" outlineLevel="1" x14ac:dyDescent="0.2">
      <c r="A95" s="70"/>
      <c r="B95" s="71"/>
      <c r="C95" s="71"/>
      <c r="D95" s="71"/>
      <c r="E95" s="71"/>
      <c r="F95" s="71"/>
      <c r="G95" s="72" t="s">
        <v>132</v>
      </c>
      <c r="H95" s="73">
        <f>H87</f>
        <v>0</v>
      </c>
      <c r="I95" s="71"/>
      <c r="J95" s="71"/>
      <c r="K95" s="71"/>
      <c r="L95" s="71"/>
      <c r="M95" s="72" t="s">
        <v>132</v>
      </c>
      <c r="N95" s="88">
        <f>N87</f>
        <v>0</v>
      </c>
    </row>
    <row r="96" spans="1:34" outlineLevel="1" x14ac:dyDescent="0.2">
      <c r="A96" s="70"/>
      <c r="B96" s="71"/>
      <c r="C96" s="71"/>
      <c r="D96" s="71"/>
      <c r="E96" s="71"/>
      <c r="F96" s="71"/>
      <c r="G96" s="72" t="s">
        <v>133</v>
      </c>
      <c r="H96" s="73">
        <f>H32</f>
        <v>0</v>
      </c>
      <c r="I96" s="71"/>
      <c r="J96" s="71"/>
      <c r="K96" s="71"/>
      <c r="L96" s="71"/>
      <c r="M96" s="72" t="s">
        <v>133</v>
      </c>
      <c r="N96" s="88">
        <f>N32</f>
        <v>0</v>
      </c>
    </row>
    <row r="97" spans="1:39" outlineLevel="1" x14ac:dyDescent="0.2">
      <c r="A97" s="70"/>
      <c r="B97" s="71"/>
      <c r="C97" s="71"/>
      <c r="D97" s="71"/>
      <c r="E97" s="71"/>
      <c r="F97" s="71"/>
      <c r="G97" s="72" t="s">
        <v>134</v>
      </c>
      <c r="H97" s="73">
        <f>H42</f>
        <v>0</v>
      </c>
      <c r="I97" s="71"/>
      <c r="J97" s="71"/>
      <c r="K97" s="71"/>
      <c r="L97" s="71"/>
      <c r="M97" s="72" t="s">
        <v>134</v>
      </c>
      <c r="N97" s="88">
        <f>N42</f>
        <v>0</v>
      </c>
    </row>
    <row r="98" spans="1:39" outlineLevel="1" x14ac:dyDescent="0.2">
      <c r="A98" s="70"/>
      <c r="B98" s="71"/>
      <c r="C98" s="71"/>
      <c r="D98" s="71"/>
      <c r="E98" s="71"/>
      <c r="F98" s="71"/>
      <c r="G98" s="72" t="s">
        <v>135</v>
      </c>
      <c r="H98" s="73">
        <f>H47</f>
        <v>0</v>
      </c>
      <c r="I98" s="71"/>
      <c r="J98" s="71"/>
      <c r="K98" s="71"/>
      <c r="L98" s="71"/>
      <c r="M98" s="72" t="s">
        <v>135</v>
      </c>
      <c r="N98" s="88">
        <f>N47</f>
        <v>0</v>
      </c>
    </row>
    <row r="99" spans="1:39" ht="13.5" outlineLevel="1" thickBot="1" x14ac:dyDescent="0.25">
      <c r="A99" s="75"/>
      <c r="B99" s="76"/>
      <c r="C99" s="76"/>
      <c r="D99" s="76"/>
      <c r="E99" s="76"/>
      <c r="F99" s="76"/>
      <c r="G99" s="77" t="s">
        <v>136</v>
      </c>
      <c r="H99" s="78">
        <f>(SUM(H59,H63,H67,H75))-(SUM(G59,G63,G67,G75))</f>
        <v>0</v>
      </c>
      <c r="I99" s="76"/>
      <c r="J99" s="76"/>
      <c r="K99" s="76"/>
      <c r="L99" s="76"/>
      <c r="M99" s="77" t="s">
        <v>136</v>
      </c>
      <c r="N99" s="89">
        <f>(SUM(N59,N63,N67,N75))-(SUM(M59,M63,M67,M75))</f>
        <v>0</v>
      </c>
    </row>
    <row r="102" spans="1:39" outlineLevel="1" x14ac:dyDescent="0.2">
      <c r="A102" s="664" t="s">
        <v>194</v>
      </c>
      <c r="Y102" s="80"/>
      <c r="AF102" s="4"/>
      <c r="AG102" s="4"/>
      <c r="AH102" s="74"/>
      <c r="AK102" s="1"/>
      <c r="AL102" s="2"/>
      <c r="AM102" s="3"/>
    </row>
    <row r="103" spans="1:39" ht="13.5" outlineLevel="1" thickBot="1" x14ac:dyDescent="0.25">
      <c r="A103" s="716" t="s">
        <v>36</v>
      </c>
      <c r="B103" s="444"/>
      <c r="C103" s="695" t="s">
        <v>37</v>
      </c>
      <c r="D103" s="777"/>
      <c r="E103" s="777"/>
      <c r="F103" s="777"/>
      <c r="G103" s="777"/>
      <c r="H103" s="777"/>
      <c r="I103" s="695" t="s">
        <v>38</v>
      </c>
      <c r="J103" s="777"/>
      <c r="K103" s="777"/>
      <c r="L103" s="777"/>
      <c r="M103" s="777"/>
      <c r="N103" s="777"/>
      <c r="O103" s="354"/>
      <c r="P103" s="625"/>
      <c r="Q103" s="625"/>
      <c r="R103" s="331"/>
      <c r="AF103" s="4"/>
      <c r="AG103" s="4"/>
      <c r="AH103" s="4"/>
      <c r="AK103" s="1"/>
      <c r="AL103" s="2"/>
      <c r="AM103" s="3"/>
    </row>
    <row r="104" spans="1:39" ht="15.75" customHeight="1" outlineLevel="1" x14ac:dyDescent="0.2">
      <c r="A104" s="716"/>
      <c r="B104" s="717" t="s">
        <v>188</v>
      </c>
      <c r="C104" s="719" t="s">
        <v>42</v>
      </c>
      <c r="D104" s="704" t="s">
        <v>43</v>
      </c>
      <c r="E104" s="813" t="s">
        <v>189</v>
      </c>
      <c r="F104" s="704" t="s">
        <v>195</v>
      </c>
      <c r="G104" s="704" t="s">
        <v>196</v>
      </c>
      <c r="H104" s="721" t="s">
        <v>197</v>
      </c>
      <c r="I104" s="719" t="s">
        <v>42</v>
      </c>
      <c r="J104" s="704" t="s">
        <v>43</v>
      </c>
      <c r="K104" s="813" t="s">
        <v>190</v>
      </c>
      <c r="L104" s="704" t="s">
        <v>195</v>
      </c>
      <c r="M104" s="704" t="s">
        <v>196</v>
      </c>
      <c r="N104" s="721" t="s">
        <v>197</v>
      </c>
      <c r="O104" s="700" t="s">
        <v>47</v>
      </c>
      <c r="P104" s="667"/>
      <c r="Q104" s="625"/>
      <c r="R104" s="331"/>
      <c r="AF104" s="4"/>
      <c r="AG104" s="4"/>
      <c r="AH104" s="4"/>
    </row>
    <row r="105" spans="1:39" s="11" customFormat="1" outlineLevel="1" x14ac:dyDescent="0.2">
      <c r="A105" s="443" t="s">
        <v>48</v>
      </c>
      <c r="B105" s="718"/>
      <c r="C105" s="720"/>
      <c r="D105" s="705"/>
      <c r="E105" s="814"/>
      <c r="F105" s="705"/>
      <c r="G105" s="705"/>
      <c r="H105" s="722"/>
      <c r="I105" s="837"/>
      <c r="J105" s="705"/>
      <c r="K105" s="814"/>
      <c r="L105" s="705"/>
      <c r="M105" s="705"/>
      <c r="N105" s="722"/>
      <c r="O105" s="701"/>
      <c r="P105" s="668"/>
      <c r="Q105" s="669"/>
      <c r="R105" s="670"/>
    </row>
    <row r="106" spans="1:39" s="3" customFormat="1" outlineLevel="1" x14ac:dyDescent="0.2">
      <c r="A106" s="442" t="s">
        <v>49</v>
      </c>
      <c r="B106" s="718"/>
      <c r="C106" s="720"/>
      <c r="D106" s="705"/>
      <c r="E106" s="814"/>
      <c r="F106" s="705"/>
      <c r="G106" s="705"/>
      <c r="H106" s="722"/>
      <c r="I106" s="837"/>
      <c r="J106" s="705"/>
      <c r="K106" s="814"/>
      <c r="L106" s="705"/>
      <c r="M106" s="705"/>
      <c r="N106" s="722"/>
      <c r="O106" s="701"/>
      <c r="P106" s="650" t="s">
        <v>50</v>
      </c>
      <c r="Q106" s="671"/>
      <c r="R106" s="672"/>
      <c r="AI106" s="4"/>
      <c r="AJ106" s="4"/>
      <c r="AK106" s="1"/>
      <c r="AL106" s="2"/>
    </row>
    <row r="107" spans="1:39" s="3" customFormat="1" outlineLevel="1" x14ac:dyDescent="0.2">
      <c r="A107" s="111" t="s">
        <v>51</v>
      </c>
      <c r="B107" s="130">
        <f>B18</f>
        <v>0</v>
      </c>
      <c r="C107" s="131">
        <f>C18</f>
        <v>0</v>
      </c>
      <c r="D107" s="642">
        <f>9*C107</f>
        <v>0</v>
      </c>
      <c r="E107" s="638">
        <f>B107*(1+$H$13)</f>
        <v>0</v>
      </c>
      <c r="F107" s="175">
        <f>IF(E107&gt;($N$2*9),((C107*E107)-F18),0)</f>
        <v>0</v>
      </c>
      <c r="G107" s="175">
        <f>ROUND(F107*$N$5,0)</f>
        <v>0</v>
      </c>
      <c r="H107" s="176">
        <f t="shared" ref="H107:H111" si="17">ROUND(SUM(F107:G107),0)</f>
        <v>0</v>
      </c>
      <c r="I107" s="131">
        <f>I18</f>
        <v>0</v>
      </c>
      <c r="J107" s="642">
        <f>9*I107</f>
        <v>0</v>
      </c>
      <c r="K107" s="638">
        <f>IF($B$10&gt;1,B107*(1+$H$13)*(1+$N$13),0)</f>
        <v>0</v>
      </c>
      <c r="L107" s="175">
        <f>IF(K107&gt;($N$2*9),((I107*K107)-L18),0)</f>
        <v>0</v>
      </c>
      <c r="M107" s="175">
        <f>ROUND(L107*$N$5,0)</f>
        <v>0</v>
      </c>
      <c r="N107" s="176">
        <f t="shared" ref="N107" si="18">ROUND(SUM(L107:M107),0)</f>
        <v>0</v>
      </c>
      <c r="O107" s="145">
        <f>ROUND(SUM(H107,N107),0)</f>
        <v>0</v>
      </c>
      <c r="P107" s="673" t="s">
        <v>51</v>
      </c>
      <c r="Q107" s="671"/>
      <c r="R107" s="672"/>
      <c r="AI107" s="4"/>
      <c r="AJ107" s="4"/>
      <c r="AK107" s="1"/>
      <c r="AL107" s="2"/>
    </row>
    <row r="108" spans="1:39" s="3" customFormat="1" outlineLevel="1" x14ac:dyDescent="0.2">
      <c r="A108" s="113" t="s">
        <v>52</v>
      </c>
      <c r="B108" s="666">
        <f t="shared" ref="B108:C111" si="19">B19</f>
        <v>0</v>
      </c>
      <c r="C108" s="131">
        <f t="shared" si="19"/>
        <v>0</v>
      </c>
      <c r="D108" s="642">
        <f>3*C108</f>
        <v>0</v>
      </c>
      <c r="E108" s="638">
        <f>B108*(1+$H$13)</f>
        <v>0</v>
      </c>
      <c r="F108" s="175">
        <f>IF(E108&gt;($N$2*3),((C108*E108)-F19),0)</f>
        <v>0</v>
      </c>
      <c r="G108" s="175">
        <f>ROUND(F108*$N$8,0)</f>
        <v>0</v>
      </c>
      <c r="H108" s="176">
        <f t="shared" si="17"/>
        <v>0</v>
      </c>
      <c r="I108" s="131">
        <f t="shared" ref="I108:I111" si="20">I19</f>
        <v>0</v>
      </c>
      <c r="J108" s="642">
        <f>3*I108</f>
        <v>0</v>
      </c>
      <c r="K108" s="638">
        <f t="shared" ref="K108:K111" si="21">IF($B$10&gt;1,B108*(1+$H$13)*(1+$N$13),0)</f>
        <v>0</v>
      </c>
      <c r="L108" s="175">
        <f>IF(K108&gt;($N$2*3),((I108*K108)-L19),0)</f>
        <v>0</v>
      </c>
      <c r="M108" s="175">
        <f>ROUND(L108*$N$8,0)</f>
        <v>0</v>
      </c>
      <c r="N108" s="176">
        <f>ROUND(SUM(L108:M108),0)</f>
        <v>0</v>
      </c>
      <c r="O108" s="145">
        <f t="shared" ref="O108:O111" si="22">ROUND(SUM(H108,N108),0)</f>
        <v>0</v>
      </c>
      <c r="P108" s="673" t="s">
        <v>52</v>
      </c>
      <c r="Q108" s="671"/>
      <c r="R108" s="672"/>
      <c r="AI108" s="4"/>
      <c r="AJ108" s="4"/>
      <c r="AK108" s="1"/>
      <c r="AL108" s="2"/>
    </row>
    <row r="109" spans="1:39" s="3" customFormat="1" outlineLevel="1" x14ac:dyDescent="0.2">
      <c r="A109" s="113" t="s">
        <v>53</v>
      </c>
      <c r="B109" s="130">
        <f t="shared" si="19"/>
        <v>0</v>
      </c>
      <c r="C109" s="131">
        <f t="shared" si="19"/>
        <v>0</v>
      </c>
      <c r="D109" s="642">
        <f>10*C109</f>
        <v>0</v>
      </c>
      <c r="E109" s="638">
        <f>B109*(1+$H$13)</f>
        <v>0</v>
      </c>
      <c r="F109" s="175">
        <f>IF(E109&gt;($N$2*10),((C109*E109)-F20),0)</f>
        <v>0</v>
      </c>
      <c r="G109" s="175">
        <f>ROUND(F109*$N$5,0)</f>
        <v>0</v>
      </c>
      <c r="H109" s="176">
        <f t="shared" si="17"/>
        <v>0</v>
      </c>
      <c r="I109" s="131">
        <f t="shared" si="20"/>
        <v>0</v>
      </c>
      <c r="J109" s="642">
        <f>10*I109</f>
        <v>0</v>
      </c>
      <c r="K109" s="638">
        <f t="shared" si="21"/>
        <v>0</v>
      </c>
      <c r="L109" s="175">
        <f>IF(K109&gt;($N$2*10),((I109*K109)-L20),0)</f>
        <v>0</v>
      </c>
      <c r="M109" s="175">
        <f>ROUND(L109*$N$5,0)</f>
        <v>0</v>
      </c>
      <c r="N109" s="176">
        <f t="shared" ref="N109:N111" si="23">ROUND(SUM(L109:M109),0)</f>
        <v>0</v>
      </c>
      <c r="O109" s="145">
        <f t="shared" si="22"/>
        <v>0</v>
      </c>
      <c r="P109" s="673" t="s">
        <v>53</v>
      </c>
      <c r="Q109" s="671"/>
      <c r="R109" s="672"/>
      <c r="AI109" s="4"/>
      <c r="AJ109" s="4"/>
      <c r="AK109" s="1"/>
      <c r="AL109" s="2"/>
    </row>
    <row r="110" spans="1:39" s="3" customFormat="1" outlineLevel="1" x14ac:dyDescent="0.2">
      <c r="A110" s="113" t="s">
        <v>54</v>
      </c>
      <c r="B110" s="666">
        <f t="shared" si="19"/>
        <v>0</v>
      </c>
      <c r="C110" s="131">
        <f t="shared" si="19"/>
        <v>0</v>
      </c>
      <c r="D110" s="642">
        <f>2*C110</f>
        <v>0</v>
      </c>
      <c r="E110" s="638">
        <f t="shared" ref="E110:E111" si="24">B110*(1+$H$13)</f>
        <v>0</v>
      </c>
      <c r="F110" s="175">
        <f>IF(E110&gt;($N$2*2),((C110*E110)-F21),0)</f>
        <v>0</v>
      </c>
      <c r="G110" s="175">
        <f>ROUND(F110*$N$8,0)</f>
        <v>0</v>
      </c>
      <c r="H110" s="176">
        <f t="shared" si="17"/>
        <v>0</v>
      </c>
      <c r="I110" s="131">
        <f t="shared" si="20"/>
        <v>0</v>
      </c>
      <c r="J110" s="642">
        <f>2*I110</f>
        <v>0</v>
      </c>
      <c r="K110" s="638">
        <f t="shared" si="21"/>
        <v>0</v>
      </c>
      <c r="L110" s="175">
        <f>IF(K110&gt;($N$2*2),((I110*K110)-L21),0)</f>
        <v>0</v>
      </c>
      <c r="M110" s="175">
        <f>ROUND(L110*$N$8,0)</f>
        <v>0</v>
      </c>
      <c r="N110" s="176">
        <f t="shared" si="23"/>
        <v>0</v>
      </c>
      <c r="O110" s="145">
        <f t="shared" si="22"/>
        <v>0</v>
      </c>
      <c r="P110" s="673" t="s">
        <v>54</v>
      </c>
      <c r="Q110" s="671"/>
      <c r="R110" s="672"/>
      <c r="AI110" s="4"/>
      <c r="AJ110" s="4"/>
      <c r="AK110" s="1"/>
      <c r="AL110" s="2"/>
    </row>
    <row r="111" spans="1:39" s="3" customFormat="1" outlineLevel="1" x14ac:dyDescent="0.2">
      <c r="A111" s="113" t="s">
        <v>55</v>
      </c>
      <c r="B111" s="130">
        <f t="shared" si="19"/>
        <v>0</v>
      </c>
      <c r="C111" s="131">
        <f t="shared" si="19"/>
        <v>0</v>
      </c>
      <c r="D111" s="642">
        <f>12*C111</f>
        <v>0</v>
      </c>
      <c r="E111" s="638">
        <f t="shared" si="24"/>
        <v>0</v>
      </c>
      <c r="F111" s="175">
        <f>IF(E111&gt;$N$3,((C111*E111)-F22),0)</f>
        <v>0</v>
      </c>
      <c r="G111" s="175">
        <f>ROUND(F111*$N$5,0)</f>
        <v>0</v>
      </c>
      <c r="H111" s="176">
        <f t="shared" si="17"/>
        <v>0</v>
      </c>
      <c r="I111" s="131">
        <f t="shared" si="20"/>
        <v>0</v>
      </c>
      <c r="J111" s="642">
        <f t="shared" ref="J111" si="25">12*I111</f>
        <v>0</v>
      </c>
      <c r="K111" s="638">
        <f t="shared" si="21"/>
        <v>0</v>
      </c>
      <c r="L111" s="175">
        <f>IF(K111&gt;$N$3,((I111*K111)-L22),0)</f>
        <v>0</v>
      </c>
      <c r="M111" s="175">
        <f>ROUND(L111*$N$5,0)</f>
        <v>0</v>
      </c>
      <c r="N111" s="176">
        <f t="shared" si="23"/>
        <v>0</v>
      </c>
      <c r="O111" s="145">
        <f t="shared" si="22"/>
        <v>0</v>
      </c>
      <c r="P111" s="673" t="s">
        <v>55</v>
      </c>
      <c r="Q111" s="671"/>
      <c r="R111" s="672"/>
      <c r="AI111" s="4"/>
      <c r="AJ111" s="4"/>
      <c r="AK111" s="1"/>
      <c r="AL111" s="2"/>
    </row>
  </sheetData>
  <sheetProtection sheet="1" objects="1" scenarios="1"/>
  <mergeCells count="81">
    <mergeCell ref="O104:O106"/>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A103:A104"/>
    <mergeCell ref="C103:H103"/>
    <mergeCell ref="I103:N103"/>
    <mergeCell ref="A1:K3"/>
    <mergeCell ref="E15:E17"/>
    <mergeCell ref="K15:K17"/>
    <mergeCell ref="C14:H14"/>
    <mergeCell ref="I14:N14"/>
    <mergeCell ref="C68:G68"/>
    <mergeCell ref="I68:M68"/>
    <mergeCell ref="C71:F71"/>
    <mergeCell ref="I71:L71"/>
    <mergeCell ref="A12:B12"/>
    <mergeCell ref="B43:G43"/>
    <mergeCell ref="D34:G34"/>
    <mergeCell ref="I34:M34"/>
    <mergeCell ref="G15:G17"/>
    <mergeCell ref="H15:H17"/>
    <mergeCell ref="I15:I17"/>
    <mergeCell ref="J15:J17"/>
    <mergeCell ref="C36:F36"/>
    <mergeCell ref="D32:G32"/>
    <mergeCell ref="I32:M32"/>
    <mergeCell ref="I36:L36"/>
    <mergeCell ref="D33:G33"/>
    <mergeCell ref="I33:M33"/>
    <mergeCell ref="A14:A15"/>
    <mergeCell ref="B15:B17"/>
    <mergeCell ref="C15:C17"/>
    <mergeCell ref="D15:D17"/>
    <mergeCell ref="F15:F17"/>
    <mergeCell ref="L1:N1"/>
    <mergeCell ref="L4:N4"/>
    <mergeCell ref="N15:N17"/>
    <mergeCell ref="L13:M13"/>
    <mergeCell ref="O1:R5"/>
    <mergeCell ref="L15:L17"/>
    <mergeCell ref="M15:M17"/>
    <mergeCell ref="O15:O17"/>
    <mergeCell ref="C56:G56"/>
    <mergeCell ref="I56:M56"/>
    <mergeCell ref="C64:G64"/>
    <mergeCell ref="I64:M64"/>
    <mergeCell ref="C67:F67"/>
    <mergeCell ref="I67:L67"/>
    <mergeCell ref="C60:G60"/>
    <mergeCell ref="I60:M60"/>
    <mergeCell ref="C63:F63"/>
    <mergeCell ref="I63:L63"/>
    <mergeCell ref="C59:F59"/>
    <mergeCell ref="I59:L59"/>
    <mergeCell ref="C72:G72"/>
    <mergeCell ref="I72:M72"/>
    <mergeCell ref="C75:F75"/>
    <mergeCell ref="I75:L75"/>
    <mergeCell ref="A77:G77"/>
    <mergeCell ref="I77:M77"/>
    <mergeCell ref="I76:M76"/>
    <mergeCell ref="C76:G76"/>
    <mergeCell ref="A81:G81"/>
    <mergeCell ref="I81:M81"/>
    <mergeCell ref="A79:G79"/>
    <mergeCell ref="I79:M79"/>
    <mergeCell ref="A78:G78"/>
    <mergeCell ref="I78:M78"/>
    <mergeCell ref="A80:G80"/>
    <mergeCell ref="I80:M80"/>
  </mergeCells>
  <conditionalFormatting sqref="T53">
    <cfRule type="cellIs" dxfId="0" priority="1" operator="lessThan">
      <formula>0.02</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31C3D7-326D-4586-9666-B4622B549BB6}"/>
</file>

<file path=customXml/itemProps2.xml><?xml version="1.0" encoding="utf-8"?>
<ds:datastoreItem xmlns:ds="http://schemas.openxmlformats.org/officeDocument/2006/customXml" ds:itemID="{94D59BDA-5FF3-41CE-BF18-C06E2F1552F7}">
  <ds:schemaRefs>
    <ds:schemaRef ds:uri="http://schemas.microsoft.com/office/2006/metadata/properties"/>
    <ds:schemaRef ds:uri="http://schemas.microsoft.com/office/infopath/2007/PartnerControls"/>
    <ds:schemaRef ds:uri="9c7942cc-054c-485b-8e91-c668de4106eb"/>
    <ds:schemaRef ds:uri="http://schemas.microsoft.com/sharepoint/v3"/>
  </ds:schemaRefs>
</ds:datastoreItem>
</file>

<file path=customXml/itemProps3.xml><?xml version="1.0" encoding="utf-8"?>
<ds:datastoreItem xmlns:ds="http://schemas.openxmlformats.org/officeDocument/2006/customXml" ds:itemID="{2E04B82B-3092-4D21-A8A4-11495330F3FE}">
  <ds:schemaRefs>
    <ds:schemaRef ds:uri="http://schemas.microsoft.com/sharepoint/v3/contenttype/forms"/>
  </ds:schemaRefs>
</ds:datastoreItem>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Detailed-Consistent Effort</vt:lpstr>
      <vt:lpstr>Modular-Consistent Effort</vt:lpstr>
      <vt:lpstr>Modular-Varying Effort</vt:lpstr>
      <vt:lpstr>Detailed-Varying Effort</vt:lpstr>
      <vt:lpstr>R21 Modular-Consistent Effort </vt:lpstr>
      <vt:lpstr>R21 Modular-Varying Effort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2000-02-03T21:08:39Z</dcterms:created>
  <dcterms:modified xsi:type="dcterms:W3CDTF">2024-08-29T22:31:14Z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511400</vt:r8>
  </property>
  <property fmtid="{D5CDD505-2E9C-101B-9397-08002B2CF9AE}" pid="4" name="MediaServiceImageTags">
    <vt:lpwstr/>
  </property>
</Properties>
</file>